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gowosc_Dell\Desktop\RAPORTY\RAPORT 2020\"/>
    </mc:Choice>
  </mc:AlternateContent>
  <xr:revisionPtr revIDLastSave="0" documentId="13_ncr:1_{42CBA4B1-F52C-470E-A4F0-F9BB8658C5FF}" xr6:coauthVersionLast="47" xr6:coauthVersionMax="47" xr10:uidLastSave="{00000000-0000-0000-0000-000000000000}"/>
  <bookViews>
    <workbookView xWindow="3510" yWindow="3510" windowWidth="21600" windowHeight="11385" activeTab="1" xr2:uid="{00000000-000D-0000-FFFF-FFFF00000000}"/>
  </bookViews>
  <sheets>
    <sheet name="dane" sheetId="2" r:id="rId1"/>
    <sheet name="wskaźniki" sheetId="1" r:id="rId2"/>
  </sheets>
  <definedNames>
    <definedName name="_xlnm._FilterDatabase" localSheetId="0">dane!$A$2:$I$201</definedName>
    <definedName name="_xlnm.Print_Area" localSheetId="1">wskaźniki!$A$1:$K$19</definedName>
  </definedNames>
  <calcPr calcId="191029"/>
</workbook>
</file>

<file path=xl/calcChain.xml><?xml version="1.0" encoding="utf-8"?>
<calcChain xmlns="http://schemas.openxmlformats.org/spreadsheetml/2006/main">
  <c r="E154" i="2" l="1"/>
  <c r="F116" i="2"/>
  <c r="F113" i="2" s="1"/>
  <c r="E116" i="2"/>
  <c r="E113" i="2" s="1"/>
  <c r="F129" i="2"/>
  <c r="F128" i="2" s="1"/>
  <c r="G129" i="2"/>
  <c r="G128" i="2" s="1"/>
  <c r="H129" i="2"/>
  <c r="I129" i="2"/>
  <c r="I128" i="2" s="1"/>
  <c r="E129" i="2"/>
  <c r="E128" i="2" s="1"/>
  <c r="H128" i="2"/>
  <c r="E23" i="2"/>
  <c r="F60" i="2"/>
  <c r="F59" i="2" s="1"/>
  <c r="G60" i="2"/>
  <c r="G59" i="2" s="1"/>
  <c r="H60" i="2"/>
  <c r="H59" i="2" s="1"/>
  <c r="I60" i="2"/>
  <c r="I59" i="2" s="1"/>
  <c r="E60" i="2"/>
  <c r="E59" i="2" s="1"/>
  <c r="I19" i="2"/>
  <c r="H19" i="2"/>
  <c r="G19" i="2"/>
  <c r="F19" i="2"/>
  <c r="E19" i="2"/>
  <c r="F160" i="2"/>
  <c r="G160" i="2"/>
  <c r="H160" i="2"/>
  <c r="I160" i="2"/>
  <c r="E160" i="2"/>
  <c r="F92" i="2"/>
  <c r="E189" i="2"/>
  <c r="E181" i="2"/>
  <c r="E176" i="2"/>
  <c r="E172" i="2"/>
  <c r="E149" i="2"/>
  <c r="E147" i="2" s="1"/>
  <c r="E137" i="2"/>
  <c r="E133" i="2" s="1"/>
  <c r="E124" i="2"/>
  <c r="E123" i="2" s="1"/>
  <c r="E110" i="2"/>
  <c r="E107" i="2"/>
  <c r="E83" i="2"/>
  <c r="E78" i="2"/>
  <c r="E73" i="2"/>
  <c r="E65" i="2"/>
  <c r="E64" i="2" s="1"/>
  <c r="E55" i="2"/>
  <c r="E54" i="2" s="1"/>
  <c r="E47" i="2"/>
  <c r="E43" i="2"/>
  <c r="E11" i="2"/>
  <c r="E10" i="2" s="1"/>
  <c r="E5" i="2"/>
  <c r="G92" i="2"/>
  <c r="H92" i="2"/>
  <c r="I92" i="2"/>
  <c r="E92" i="2"/>
  <c r="E200" i="2" l="1"/>
  <c r="E122" i="2"/>
  <c r="E201" i="2"/>
  <c r="E4" i="2"/>
  <c r="E53" i="2"/>
  <c r="E72" i="2"/>
  <c r="E71" i="2" s="1"/>
  <c r="E105" i="2"/>
  <c r="E171" i="2"/>
  <c r="E180" i="2" s="1"/>
  <c r="E195" i="2" s="1"/>
  <c r="E198" i="2" s="1"/>
  <c r="E104" i="2" l="1"/>
  <c r="E152" i="2" s="1"/>
  <c r="E46" i="2"/>
  <c r="E91" i="2" s="1"/>
  <c r="G5" i="2"/>
  <c r="H5" i="2"/>
  <c r="I5" i="2"/>
  <c r="G11" i="2"/>
  <c r="G10" i="2" s="1"/>
  <c r="H11" i="2"/>
  <c r="H10" i="2" s="1"/>
  <c r="I11" i="2"/>
  <c r="I10" i="2" s="1"/>
  <c r="G23" i="2"/>
  <c r="H23" i="2"/>
  <c r="I23" i="2"/>
  <c r="G43" i="2"/>
  <c r="H43" i="2"/>
  <c r="I43" i="2"/>
  <c r="G47" i="2"/>
  <c r="H47" i="2"/>
  <c r="I47" i="2"/>
  <c r="G55" i="2"/>
  <c r="G54" i="2" s="1"/>
  <c r="H55" i="2"/>
  <c r="H54" i="2" s="1"/>
  <c r="I55" i="2"/>
  <c r="I54" i="2" s="1"/>
  <c r="G65" i="2"/>
  <c r="G64" i="2" s="1"/>
  <c r="H65" i="2"/>
  <c r="H64" i="2" s="1"/>
  <c r="I65" i="2"/>
  <c r="I64" i="2" s="1"/>
  <c r="G73" i="2"/>
  <c r="H73" i="2"/>
  <c r="I73" i="2"/>
  <c r="G78" i="2"/>
  <c r="H78" i="2"/>
  <c r="I78" i="2"/>
  <c r="G83" i="2"/>
  <c r="H83" i="2"/>
  <c r="I83" i="2"/>
  <c r="G107" i="2"/>
  <c r="H107" i="2"/>
  <c r="I107" i="2"/>
  <c r="G110" i="2"/>
  <c r="H110" i="2"/>
  <c r="I110" i="2"/>
  <c r="G116" i="2"/>
  <c r="G113" i="2" s="1"/>
  <c r="H116" i="2"/>
  <c r="H113" i="2" s="1"/>
  <c r="I116" i="2"/>
  <c r="I113" i="2" s="1"/>
  <c r="G124" i="2"/>
  <c r="G123" i="2" s="1"/>
  <c r="H124" i="2"/>
  <c r="H123" i="2" s="1"/>
  <c r="I124" i="2"/>
  <c r="I123" i="2" s="1"/>
  <c r="G137" i="2"/>
  <c r="G133" i="2" s="1"/>
  <c r="H137" i="2"/>
  <c r="H133" i="2" s="1"/>
  <c r="I137" i="2"/>
  <c r="I133" i="2" s="1"/>
  <c r="G149" i="2"/>
  <c r="G147" i="2" s="1"/>
  <c r="H149" i="2"/>
  <c r="H147" i="2" s="1"/>
  <c r="I149" i="2"/>
  <c r="I147" i="2" s="1"/>
  <c r="G154" i="2"/>
  <c r="H154" i="2"/>
  <c r="I154" i="2"/>
  <c r="G172" i="2"/>
  <c r="H172" i="2"/>
  <c r="I172" i="2"/>
  <c r="G176" i="2"/>
  <c r="H176" i="2"/>
  <c r="I176" i="2"/>
  <c r="G181" i="2"/>
  <c r="H181" i="2"/>
  <c r="I181" i="2"/>
  <c r="G189" i="2"/>
  <c r="H189" i="2"/>
  <c r="I189" i="2"/>
  <c r="F189" i="2"/>
  <c r="F181" i="2"/>
  <c r="F176" i="2"/>
  <c r="F172" i="2"/>
  <c r="F154" i="2"/>
  <c r="F149" i="2"/>
  <c r="F147" i="2" s="1"/>
  <c r="F137" i="2"/>
  <c r="F133" i="2" s="1"/>
  <c r="F124" i="2"/>
  <c r="F123" i="2" s="1"/>
  <c r="F110" i="2"/>
  <c r="F107" i="2"/>
  <c r="F83" i="2"/>
  <c r="F78" i="2"/>
  <c r="F73" i="2"/>
  <c r="F65" i="2"/>
  <c r="F64" i="2" s="1"/>
  <c r="F55" i="2"/>
  <c r="F54" i="2" s="1"/>
  <c r="F47" i="2"/>
  <c r="F43" i="2"/>
  <c r="F23" i="2"/>
  <c r="F11" i="2"/>
  <c r="F10" i="2" s="1"/>
  <c r="F5" i="2"/>
  <c r="F201" i="2" l="1"/>
  <c r="E153" i="2"/>
  <c r="G122" i="2"/>
  <c r="F122" i="2"/>
  <c r="G53" i="2"/>
  <c r="I122" i="2"/>
  <c r="I53" i="2"/>
  <c r="F200" i="2"/>
  <c r="F53" i="2"/>
  <c r="I200" i="2"/>
  <c r="H122" i="2"/>
  <c r="H53" i="2"/>
  <c r="H201" i="2"/>
  <c r="G200" i="2"/>
  <c r="I201" i="2"/>
  <c r="G201" i="2"/>
  <c r="H200" i="2"/>
  <c r="I213" i="2"/>
  <c r="J13" i="1" s="1"/>
  <c r="K13" i="1" s="1"/>
  <c r="G213" i="2"/>
  <c r="F13" i="1" s="1"/>
  <c r="G13" i="1" s="1"/>
  <c r="H212" i="2"/>
  <c r="H12" i="1" s="1"/>
  <c r="I12" i="1" s="1"/>
  <c r="H213" i="2"/>
  <c r="H13" i="1" s="1"/>
  <c r="I13" i="1" s="1"/>
  <c r="I212" i="2"/>
  <c r="J12" i="1" s="1"/>
  <c r="K12" i="1" s="1"/>
  <c r="K14" i="1" s="1"/>
  <c r="G212" i="2"/>
  <c r="F12" i="1" s="1"/>
  <c r="G12" i="1" s="1"/>
  <c r="G14" i="1" s="1"/>
  <c r="F213" i="2"/>
  <c r="D13" i="1" s="1"/>
  <c r="E13" i="1" s="1"/>
  <c r="F72" i="2"/>
  <c r="F71" i="2" s="1"/>
  <c r="I171" i="2"/>
  <c r="I180" i="2" s="1"/>
  <c r="I195" i="2" s="1"/>
  <c r="G171" i="2"/>
  <c r="G180" i="2" s="1"/>
  <c r="G195" i="2" s="1"/>
  <c r="H105" i="2"/>
  <c r="I105" i="2"/>
  <c r="G105" i="2"/>
  <c r="H4" i="2"/>
  <c r="F212" i="2"/>
  <c r="D12" i="1" s="1"/>
  <c r="E12" i="1" s="1"/>
  <c r="H171" i="2"/>
  <c r="H180" i="2" s="1"/>
  <c r="H195" i="2" s="1"/>
  <c r="I72" i="2"/>
  <c r="I71" i="2" s="1"/>
  <c r="G72" i="2"/>
  <c r="G71" i="2" s="1"/>
  <c r="H72" i="2"/>
  <c r="H71" i="2" s="1"/>
  <c r="I4" i="2"/>
  <c r="G4" i="2"/>
  <c r="F105" i="2"/>
  <c r="F4" i="2"/>
  <c r="F171" i="2"/>
  <c r="F180" i="2" s="1"/>
  <c r="G216" i="2" l="1"/>
  <c r="F216" i="2"/>
  <c r="F206" i="2"/>
  <c r="D6" i="1" s="1"/>
  <c r="E6" i="1" s="1"/>
  <c r="F195" i="2"/>
  <c r="F198" i="2" s="1"/>
  <c r="F205" i="2" s="1"/>
  <c r="D5" i="1" s="1"/>
  <c r="I46" i="2"/>
  <c r="I91" i="2" s="1"/>
  <c r="I215" i="2" s="1"/>
  <c r="J15" i="1" s="1"/>
  <c r="K15" i="1" s="1"/>
  <c r="H104" i="2"/>
  <c r="H152" i="2" s="1"/>
  <c r="I104" i="2"/>
  <c r="I152" i="2" s="1"/>
  <c r="H46" i="2"/>
  <c r="H209" i="2" s="1"/>
  <c r="H9" i="1" s="1"/>
  <c r="I9" i="1" s="1"/>
  <c r="E14" i="1"/>
  <c r="F104" i="2"/>
  <c r="F152" i="2" s="1"/>
  <c r="I216" i="2"/>
  <c r="J16" i="1" s="1"/>
  <c r="K16" i="1" s="1"/>
  <c r="I14" i="1"/>
  <c r="G198" i="2"/>
  <c r="G206" i="2"/>
  <c r="F6" i="1" s="1"/>
  <c r="G6" i="1" s="1"/>
  <c r="I198" i="2"/>
  <c r="I205" i="2" s="1"/>
  <c r="I206" i="2"/>
  <c r="J6" i="1" s="1"/>
  <c r="K6" i="1" s="1"/>
  <c r="F16" i="1"/>
  <c r="G16" i="1" s="1"/>
  <c r="H216" i="2"/>
  <c r="H16" i="1" s="1"/>
  <c r="I16" i="1" s="1"/>
  <c r="H198" i="2"/>
  <c r="H205" i="2" s="1"/>
  <c r="H206" i="2"/>
  <c r="H6" i="1" s="1"/>
  <c r="I6" i="1" s="1"/>
  <c r="G46" i="2"/>
  <c r="G104" i="2"/>
  <c r="F46" i="2"/>
  <c r="F91" i="2" s="1"/>
  <c r="D16" i="1"/>
  <c r="E16" i="1" s="1"/>
  <c r="I210" i="2" l="1"/>
  <c r="J10" i="1" s="1"/>
  <c r="K10" i="1" s="1"/>
  <c r="H210" i="2"/>
  <c r="H10" i="1" s="1"/>
  <c r="I10" i="1" s="1"/>
  <c r="I11" i="1" s="1"/>
  <c r="F209" i="2"/>
  <c r="D9" i="1" s="1"/>
  <c r="E9" i="1" s="1"/>
  <c r="G205" i="2"/>
  <c r="F5" i="1" s="1"/>
  <c r="G5" i="1" s="1"/>
  <c r="F210" i="2"/>
  <c r="D10" i="1" s="1"/>
  <c r="E10" i="1" s="1"/>
  <c r="I209" i="2"/>
  <c r="J9" i="1" s="1"/>
  <c r="K9" i="1" s="1"/>
  <c r="K11" i="1" s="1"/>
  <c r="K17" i="1"/>
  <c r="H91" i="2"/>
  <c r="I207" i="2" s="1"/>
  <c r="J7" i="1" s="1"/>
  <c r="K7" i="1" s="1"/>
  <c r="F153" i="2"/>
  <c r="H5" i="1"/>
  <c r="I5" i="1" s="1"/>
  <c r="G209" i="2"/>
  <c r="F9" i="1" s="1"/>
  <c r="G9" i="1" s="1"/>
  <c r="G210" i="2"/>
  <c r="F10" i="1" s="1"/>
  <c r="G10" i="1" s="1"/>
  <c r="J5" i="1"/>
  <c r="K5" i="1" s="1"/>
  <c r="G91" i="2"/>
  <c r="F207" i="2"/>
  <c r="D7" i="1" s="1"/>
  <c r="E7" i="1" s="1"/>
  <c r="I153" i="2"/>
  <c r="G152" i="2"/>
  <c r="F215" i="2"/>
  <c r="D15" i="1" s="1"/>
  <c r="E15" i="1" s="1"/>
  <c r="E17" i="1" s="1"/>
  <c r="E5" i="1"/>
  <c r="E11" i="1" l="1"/>
  <c r="G215" i="2"/>
  <c r="F15" i="1" s="1"/>
  <c r="G15" i="1" s="1"/>
  <c r="G17" i="1" s="1"/>
  <c r="G207" i="2"/>
  <c r="F7" i="1" s="1"/>
  <c r="G7" i="1" s="1"/>
  <c r="G8" i="1" s="1"/>
  <c r="H215" i="2"/>
  <c r="H15" i="1" s="1"/>
  <c r="I15" i="1" s="1"/>
  <c r="I17" i="1" s="1"/>
  <c r="H153" i="2"/>
  <c r="E8" i="1"/>
  <c r="K8" i="1"/>
  <c r="K18" i="1" s="1"/>
  <c r="G11" i="1"/>
  <c r="H207" i="2"/>
  <c r="H7" i="1" s="1"/>
  <c r="I7" i="1" s="1"/>
  <c r="I8" i="1" s="1"/>
  <c r="G153" i="2"/>
  <c r="E18" i="1" l="1"/>
  <c r="G18" i="1"/>
  <c r="I18" i="1"/>
</calcChain>
</file>

<file path=xl/sharedStrings.xml><?xml version="1.0" encoding="utf-8"?>
<sst xmlns="http://schemas.openxmlformats.org/spreadsheetml/2006/main" count="806" uniqueCount="218">
  <si>
    <t>TABELA PODSUMOWUJĄCA WYNIKI OCENY SYTUACJI EKONOMICZNO-FINANSOWEJ</t>
  </si>
  <si>
    <t>GRUPA</t>
  </si>
  <si>
    <t>WSKAŹNIKI FINANSOWE</t>
  </si>
  <si>
    <t>WARTOŚĆ WSKAŹNIKA</t>
  </si>
  <si>
    <t>PUNKTY</t>
  </si>
  <si>
    <t>I.</t>
  </si>
  <si>
    <t>WSKAŹNIKI ZYSKOWNOŚCI</t>
  </si>
  <si>
    <t>I.A. Wskaźnik zyskowności netto (%)</t>
  </si>
  <si>
    <t>I.B. Wskaźnik zyskowności działalności operacyjnej (%)</t>
  </si>
  <si>
    <t>I.C. Wskaźnik zyskowności aktywów (%)</t>
  </si>
  <si>
    <t>I. RAZEM:</t>
  </si>
  <si>
    <t>II.</t>
  </si>
  <si>
    <t>WSKAŹNIKI PŁYNNOŚCI</t>
  </si>
  <si>
    <t>II.A. Wskaźnik bieżącej płynności</t>
  </si>
  <si>
    <t xml:space="preserve">II.B. Wskaźnik szybkiej płynności </t>
  </si>
  <si>
    <t>II. RAZEM:</t>
  </si>
  <si>
    <t>III.</t>
  </si>
  <si>
    <t>WSKAŹNIKI EFEKTYWNOŚCI</t>
  </si>
  <si>
    <t>III.A. Wskaźnik rotacji należności (w dniach)</t>
  </si>
  <si>
    <t>III.B. Wskaźnik rotacji zobowiązań (w dniach)</t>
  </si>
  <si>
    <t>III. RAZEM:</t>
  </si>
  <si>
    <t>IV.</t>
  </si>
  <si>
    <t>WSKAŹNIKI ZADŁUŻENIA</t>
  </si>
  <si>
    <t>IV.A. Wskaźnik zadłużenia aktywów (%)</t>
  </si>
  <si>
    <t>IV.B. Wskaźnik wypłacalności</t>
  </si>
  <si>
    <t>IV. RAZEM:</t>
  </si>
  <si>
    <t>ŁĄCZNA WARTOŚĆ PUNKTÓW:</t>
  </si>
  <si>
    <t>Sprawozdanie</t>
  </si>
  <si>
    <t>kategoria</t>
  </si>
  <si>
    <t>Poz.</t>
  </si>
  <si>
    <t>Wyszczególnienie</t>
  </si>
  <si>
    <t>bilans</t>
  </si>
  <si>
    <t>A</t>
  </si>
  <si>
    <t>A.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</si>
  <si>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</si>
  <si>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</si>
  <si>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</si>
  <si>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</si>
  <si>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</si>
  <si>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</si>
  <si>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</si>
  <si>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Środki trwałe</t>
  </si>
  <si>
    <t>a)</t>
  </si>
  <si>
    <t>grunty (w tym prawo użytkowania wieczystego gruntu)</t>
  </si>
  <si>
    <t>b)</t>
  </si>
  <si>
    <t>budynki, lokale i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</si>
  <si>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</si>
  <si>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</si>
  <si>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</si>
  <si>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</si>
  <si>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</si>
  <si>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</si>
  <si>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</si>
  <si>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</si>
  <si>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</si>
  <si>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</si>
  <si>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</t>
  </si>
  <si>
    <t>Inwestycje długoterminowe</t>
  </si>
  <si>
    <t>Nieruchomości</t>
  </si>
  <si>
    <t>Długoterminowe aktywa finansowe</t>
  </si>
  <si>
    <t>w jednostkach powiązanych</t>
  </si>
  <si>
    <t>-</t>
  </si>
  <si>
    <t>inne papiery wartościowe</t>
  </si>
  <si>
    <t>udzielone pożyczki</t>
  </si>
  <si>
    <t>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</si>
  <si>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</si>
  <si>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</si>
  <si>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</si>
  <si>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</si>
  <si>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</si>
  <si>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</si>
  <si>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</si>
  <si>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</si>
  <si>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</si>
  <si>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</si>
  <si>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</si>
  <si>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</si>
  <si>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</si>
  <si>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</si>
  <si>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</si>
  <si>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</si>
  <si>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 o okresie spłaty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</si>
  <si>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</si>
  <si>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</si>
  <si>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</si>
  <si>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</si>
  <si>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</si>
  <si>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</si>
  <si>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</t>
  </si>
  <si>
    <t>Krótkoterminowe aktywa finansowe</t>
  </si>
  <si>
    <t>udziały lub akcje</t>
  </si>
  <si>
    <t>inne krótkoterminowe aktywa finansowe</t>
  </si>
  <si>
    <t>środki pieniężne i inne aktywa pieniężne</t>
  </si>
  <si>
    <t>środki pienieżne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</si>
  <si>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</si>
  <si>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</si>
  <si>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</si>
  <si>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</si>
  <si>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</si>
  <si>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</t>
  </si>
  <si>
    <t>Kapitał (fundusz) własny</t>
  </si>
  <si>
    <t>Kapitał (fundusz) podstawowy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</si>
  <si>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</si>
  <si>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</si>
  <si>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</si>
  <si>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</si>
  <si>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</si>
  <si>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</si>
  <si>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</si>
  <si>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</si>
  <si>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Odpisy z zysku netto w ciągu roku obrotowego (wartość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</si>
  <si>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</si>
  <si>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</si>
  <si>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</si>
  <si>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</si>
  <si>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</si>
  <si>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</si>
  <si>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</si>
  <si>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</si>
  <si>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</si>
  <si>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</si>
  <si>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</si>
  <si>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</si>
  <si>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</si>
  <si>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</si>
  <si>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</si>
  <si>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</si>
  <si>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 o okresie wymagalności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</si>
  <si>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</si>
  <si>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</si>
  <si>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</si>
  <si>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</si>
  <si>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</si>
  <si>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</si>
  <si>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</si>
  <si>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</si>
  <si>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</si>
  <si>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</si>
  <si>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</si>
  <si>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</si>
  <si>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Pasywa razem</t>
  </si>
  <si>
    <t>SPRAWDZENIE SUMY BILANSOWEJ</t>
  </si>
  <si>
    <t>rachunek zysków i strat</t>
  </si>
  <si>
    <t>RZiS</t>
  </si>
  <si>
    <t>Przychody netto ze sprzedaży i zrównane z nimi, w tym:</t>
  </si>
  <si>
    <t>od jednostek powiązanych</t>
  </si>
  <si>
    <t>Przychody netto ze sprzedaży produktów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</si>
  <si>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</si>
  <si>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</si>
  <si>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</si>
  <si>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</si>
  <si>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</si>
  <si>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</si>
  <si>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</si>
  <si>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opłaty, w tym</t>
  </si>
  <si>
    <t>podatek akcyzowy</t>
  </si>
  <si>
    <t>Wynagrodzenia</t>
  </si>
  <si>
    <t>Pozostałe koszty rodzajowe</t>
  </si>
  <si>
    <t>Wartość sprzedanych towarów i materiałów</t>
  </si>
  <si>
    <t>C.</t>
  </si>
  <si>
    <t>Zysk (strata) ze sprzedaży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</si>
  <si>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</si>
  <si>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</si>
  <si>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</si>
  <si>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</si>
  <si>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</si>
  <si>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</si>
  <si>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</si>
  <si>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</si>
  <si>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</si>
  <si>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</si>
  <si>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</si>
  <si>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</si>
  <si>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</si>
  <si>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>Przychody finansowe</t>
  </si>
  <si>
    <t>Dywidendy i udziały w zyskach, w tym</t>
  </si>
  <si>
    <t>Odsetki, w tym</t>
  </si>
  <si>
    <t>Zysk ze zbycia inwestycji</t>
  </si>
  <si>
    <t>Aktualizacja wartości inwestycji</t>
  </si>
  <si>
    <t>V</t>
  </si>
  <si>
    <t>Inne</t>
  </si>
  <si>
    <t>H.</t>
  </si>
  <si>
    <t>Koszty finansowe</t>
  </si>
  <si>
    <t>dla jednostek powiązanych</t>
  </si>
  <si>
    <t>Strata ze zbycia inwestycji</t>
  </si>
  <si>
    <t>K.</t>
  </si>
  <si>
    <t>L.</t>
  </si>
  <si>
    <t>Podatek dochodowy</t>
  </si>
  <si>
    <t>M.</t>
  </si>
  <si>
    <t>Pozostałe obowiązkowe zmniejszenia zysku (zwiększenia straty)</t>
  </si>
  <si>
    <t>N.</t>
  </si>
  <si>
    <t>Wynik finansowy</t>
  </si>
  <si>
    <t>Przychody ogółem</t>
  </si>
  <si>
    <t>Koszty ogółem</t>
  </si>
  <si>
    <t>NOWE WSKAŹNIKI</t>
  </si>
  <si>
    <t>31-12-2019</t>
  </si>
  <si>
    <t>x</t>
  </si>
  <si>
    <t>Maksymalna możliwa do osiągnięcia wartość punktów: 70</t>
  </si>
  <si>
    <t>Należne wpłaty na kapitał (fundusz) podstawowy</t>
  </si>
  <si>
    <t>Udziały (akcje) własne</t>
  </si>
  <si>
    <t>nadwyżka wartości sprzedaży (wartości emisyjnej) nad wartością nominalną udziałów (akcji)</t>
  </si>
  <si>
    <t>z tytułu aktualizacji wartości godziwej</t>
  </si>
  <si>
    <t>tworzone zgodnie z umową (statutem) spółki</t>
  </si>
  <si>
    <t>na udziały (akcje) własne</t>
  </si>
  <si>
    <t>Zysk (strata) brutto (F+G-H)</t>
  </si>
  <si>
    <t>Ubezpieczenia społeczne i inne świadczenia, w tym:</t>
  </si>
  <si>
    <t>emerytalne</t>
  </si>
  <si>
    <t>Po wypełnieniu danych z bilansu i rachunku zysków i strat wskaźniki wyliczą się automatycznie</t>
  </si>
  <si>
    <t>w pozostałych jednostkach, w których jednostka posiada zaangażowanie w kapitale</t>
  </si>
  <si>
    <t>Należności od pozostałych jednostek, w których jednostka posiada zaangażowanie w kapitale</t>
  </si>
  <si>
    <t>Od pozostałych jednostek, w których jednostka posiada zaangażowanie w kapitale</t>
  </si>
  <si>
    <t>Wobec pozostałych jednostek, w których jednostka posiada zaangażowanie w kapitale</t>
  </si>
  <si>
    <t>w tym zakładowy fundusz świadczeń socjalnych (ZFŚS)</t>
  </si>
  <si>
    <t>31-12-2020</t>
  </si>
  <si>
    <t>31-12-2021</t>
  </si>
  <si>
    <t>31-12-2022</t>
  </si>
  <si>
    <t>31-12-2023</t>
  </si>
  <si>
    <t>Samodzielny Zespół Publicznych Zakładów Lecznictwa Otwartego Warszawa-Wesoła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</si>
</sst>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color indexed="9"/>
      <name val="Verdana"/>
      <family val="2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 CE"/>
      <charset val="238"/>
    </font>
    <font>
      <sz val="9"/>
      <name val="Verdana"/>
      <family val="2"/>
      <charset val="238"/>
    </font>
    <font>
      <sz val="8"/>
      <name val="Arial"/>
      <family val="2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BCBA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9" fontId="9" fillId="0" borderId="8" xfId="1" applyFont="1" applyBorder="1" applyAlignment="1">
      <alignment horizontal="center" vertical="center"/>
    </xf>
    <xf numFmtId="9" fontId="9" fillId="0" borderId="8" xfId="1" applyFont="1" applyBorder="1" applyAlignment="1">
      <alignment horizontal="center" vertical="center" wrapText="1"/>
    </xf>
    <xf numFmtId="4" fontId="9" fillId="0" borderId="8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8" fillId="5" borderId="8" xfId="0" applyNumberFormat="1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4" fontId="9" fillId="6" borderId="8" xfId="0" applyNumberFormat="1" applyFont="1" applyFill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/>
    </xf>
    <xf numFmtId="4" fontId="10" fillId="5" borderId="8" xfId="0" applyNumberFormat="1" applyFont="1" applyFill="1" applyBorder="1" applyAlignment="1">
      <alignment vertical="center" wrapText="1"/>
    </xf>
    <xf numFmtId="4" fontId="11" fillId="0" borderId="8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horizontal="center" vertical="center"/>
    </xf>
    <xf numFmtId="4" fontId="11" fillId="5" borderId="8" xfId="0" applyNumberFormat="1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vertical="center" wrapText="1"/>
    </xf>
    <xf numFmtId="4" fontId="9" fillId="7" borderId="8" xfId="0" applyNumberFormat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vertical="center" wrapText="1"/>
    </xf>
    <xf numFmtId="4" fontId="9" fillId="8" borderId="8" xfId="0" applyNumberFormat="1" applyFont="1" applyFill="1" applyBorder="1" applyAlignment="1">
      <alignment vertical="center"/>
    </xf>
    <xf numFmtId="10" fontId="8" fillId="0" borderId="8" xfId="1" applyNumberFormat="1" applyFont="1" applyBorder="1" applyAlignment="1">
      <alignment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vertical="center" wrapText="1"/>
    </xf>
    <xf numFmtId="0" fontId="8" fillId="9" borderId="8" xfId="0" applyFont="1" applyFill="1" applyBorder="1" applyAlignment="1">
      <alignment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 wrapText="1"/>
    </xf>
    <xf numFmtId="4" fontId="9" fillId="9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10" fontId="8" fillId="0" borderId="8" xfId="1" applyNumberFormat="1" applyFont="1" applyBorder="1" applyAlignment="1">
      <alignment horizontal="center" vertical="center"/>
    </xf>
    <xf numFmtId="10" fontId="8" fillId="0" borderId="8" xfId="1" applyNumberFormat="1" applyFont="1" applyBorder="1" applyAlignment="1">
      <alignment vertical="center" wrapText="1"/>
    </xf>
    <xf numFmtId="4" fontId="8" fillId="0" borderId="8" xfId="1" applyNumberFormat="1" applyFont="1" applyBorder="1" applyAlignment="1">
      <alignment vertical="center"/>
    </xf>
    <xf numFmtId="10" fontId="8" fillId="0" borderId="11" xfId="1" applyNumberFormat="1" applyFont="1" applyBorder="1" applyAlignment="1">
      <alignment vertical="center"/>
    </xf>
    <xf numFmtId="10" fontId="0" fillId="0" borderId="0" xfId="1" applyNumberFormat="1" applyFont="1"/>
    <xf numFmtId="0" fontId="12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13" borderId="14" xfId="0" applyFont="1" applyFill="1" applyBorder="1" applyAlignment="1">
      <alignment vertical="center" wrapText="1"/>
    </xf>
    <xf numFmtId="4" fontId="8" fillId="0" borderId="12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10" borderId="16" xfId="0" applyFont="1" applyFill="1" applyBorder="1" applyAlignment="1">
      <alignment vertical="center" wrapText="1"/>
    </xf>
    <xf numFmtId="10" fontId="8" fillId="0" borderId="15" xfId="1" applyNumberFormat="1" applyFont="1" applyBorder="1" applyAlignment="1">
      <alignment horizontal="center" vertical="center"/>
    </xf>
    <xf numFmtId="10" fontId="8" fillId="0" borderId="16" xfId="1" applyNumberFormat="1" applyFont="1" applyBorder="1" applyAlignment="1">
      <alignment vertical="center" wrapText="1"/>
    </xf>
    <xf numFmtId="10" fontId="8" fillId="0" borderId="8" xfId="1" applyNumberFormat="1" applyFont="1" applyFill="1" applyBorder="1" applyAlignment="1">
      <alignment vertical="center"/>
    </xf>
    <xf numFmtId="0" fontId="8" fillId="11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12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9" fontId="9" fillId="0" borderId="8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10" fontId="8" fillId="0" borderId="8" xfId="1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0" fontId="8" fillId="0" borderId="11" xfId="1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vertical="center"/>
    </xf>
    <xf numFmtId="10" fontId="3" fillId="0" borderId="5" xfId="1" applyNumberFormat="1" applyFont="1" applyBorder="1" applyAlignment="1">
      <alignment vertical="center"/>
    </xf>
    <xf numFmtId="4" fontId="3" fillId="0" borderId="5" xfId="1" applyNumberFormat="1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0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10" fontId="3" fillId="0" borderId="24" xfId="1" applyNumberFormat="1" applyFont="1" applyBorder="1" applyAlignment="1">
      <alignment vertical="center"/>
    </xf>
    <xf numFmtId="4" fontId="3" fillId="0" borderId="24" xfId="1" applyNumberFormat="1" applyFont="1" applyBorder="1" applyAlignment="1">
      <alignment vertical="center"/>
    </xf>
    <xf numFmtId="0" fontId="2" fillId="2" borderId="26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0" fillId="0" borderId="0" xfId="0" applyFont="1"/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5" borderId="8" xfId="0" applyFont="1" applyFill="1" applyBorder="1" applyAlignment="1">
      <alignment vertical="center" wrapText="1"/>
    </xf>
    <xf numFmtId="4" fontId="14" fillId="0" borderId="8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4" fontId="9" fillId="5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8" fillId="14" borderId="8" xfId="0" applyFont="1" applyFill="1" applyBorder="1" applyAlignment="1">
      <alignment vertical="center" wrapText="1"/>
    </xf>
    <xf numFmtId="2" fontId="8" fillId="0" borderId="8" xfId="0" applyNumberFormat="1" applyFont="1" applyFill="1" applyBorder="1" applyAlignment="1">
      <alignment vertical="center" wrapText="1"/>
    </xf>
    <xf numFmtId="2" fontId="9" fillId="0" borderId="8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</cellXfs>
  <cellStyles count="18">
    <cellStyle name="Dziesiętny 2" xfId="2" xr:uid="{00000000-0005-0000-0000-000000000000}"/>
    <cellStyle name="Normalny" xfId="0" builtinId="0"/>
    <cellStyle name="Normalny 10" xfId="3" xr:uid="{00000000-0005-0000-0000-000002000000}"/>
    <cellStyle name="Normalny 11" xfId="4" xr:uid="{00000000-0005-0000-0000-000003000000}"/>
    <cellStyle name="Normalny 12" xfId="5" xr:uid="{00000000-0005-0000-0000-000004000000}"/>
    <cellStyle name="Normalny 13" xfId="6" xr:uid="{00000000-0005-0000-0000-000005000000}"/>
    <cellStyle name="Normalny 14" xfId="7" xr:uid="{00000000-0005-0000-0000-000006000000}"/>
    <cellStyle name="Normalny 15" xfId="8" xr:uid="{00000000-0005-0000-0000-000007000000}"/>
    <cellStyle name="Normalny 17" xfId="9" xr:uid="{00000000-0005-0000-0000-000008000000}"/>
    <cellStyle name="Normalny 18" xfId="10" xr:uid="{00000000-0005-0000-0000-000009000000}"/>
    <cellStyle name="Normalny 19" xfId="11" xr:uid="{00000000-0005-0000-0000-00000A000000}"/>
    <cellStyle name="Normalny 20" xfId="12" xr:uid="{00000000-0005-0000-0000-00000B000000}"/>
    <cellStyle name="Normalny 5" xfId="13" xr:uid="{00000000-0005-0000-0000-00000C000000}"/>
    <cellStyle name="Normalny 6" xfId="14" xr:uid="{00000000-0005-0000-0000-00000D000000}"/>
    <cellStyle name="Normalny 8" xfId="15" xr:uid="{00000000-0005-0000-0000-00000E000000}"/>
    <cellStyle name="Normalny 9" xfId="16" xr:uid="{00000000-0005-0000-0000-00000F000000}"/>
    <cellStyle name="Procentowy" xfId="1" builtinId="5"/>
    <cellStyle name="Procentowy 2" xfId="17" xr:uid="{00000000-0005-0000-0000-000011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BC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J217"/>
  <sheetViews>
    <sheetView zoomScaleNormal="100" workbookViewId="0">
      <pane xSplit="4" ySplit="3" topLeftCell="E45" activePane="bottomRight" state="frozen"/>
      <selection activeCell="D81" sqref="D81"/>
      <selection pane="topRight" activeCell="D81" sqref="D81"/>
      <selection pane="bottomLeft" activeCell="D81" sqref="D81"/>
      <selection pane="bottomRight" activeCell="D48" sqref="D48"/>
    </sheetView>
  </sheetViews>
  <sheetFormatPr defaultColWidth="17" defaultRowHeight="12.75"/>
  <cols>
    <col min="1" max="1" width="6.85546875" style="19" customWidth="1"/>
    <col min="2" max="2" width="4.85546875" style="19" customWidth="1"/>
    <col min="3" max="3" width="3.28515625" style="8" bestFit="1" customWidth="1"/>
    <col min="4" max="4" width="42.7109375" style="22" customWidth="1"/>
    <col min="5" max="5" width="10.28515625" style="51" customWidth="1"/>
    <col min="6" max="9" width="12" style="20" customWidth="1"/>
  </cols>
  <sheetData>
    <row r="1" spans="1:9" ht="20.25" customHeight="1">
      <c r="A1" s="135" t="s">
        <v>207</v>
      </c>
    </row>
    <row r="2" spans="1:9" s="11" customFormat="1" ht="22.5">
      <c r="A2" s="9"/>
      <c r="B2" s="9"/>
      <c r="C2" s="9"/>
      <c r="D2" s="134" t="s">
        <v>217</v>
      </c>
      <c r="E2" s="9"/>
      <c r="F2" s="10"/>
      <c r="G2" s="10"/>
      <c r="H2" s="10"/>
      <c r="I2" s="10"/>
    </row>
    <row r="3" spans="1:9">
      <c r="A3" s="12" t="s">
        <v>27</v>
      </c>
      <c r="B3" s="12" t="s">
        <v>28</v>
      </c>
      <c r="C3" s="12" t="s">
        <v>29</v>
      </c>
      <c r="D3" s="13" t="s">
        <v>30</v>
      </c>
      <c r="E3" s="77" t="s">
        <v>195</v>
      </c>
      <c r="F3" s="12" t="s">
        <v>213</v>
      </c>
      <c r="G3" s="14" t="s">
        <v>214</v>
      </c>
      <c r="H3" s="14" t="s">
        <v>215</v>
      </c>
      <c r="I3" s="14" t="s">
        <v>216</v>
      </c>
    </row>
    <row r="4" spans="1:9">
      <c r="A4" s="15" t="s">
        <v>31</v>
      </c>
      <c r="B4" s="8" t="s">
        <v>32</v>
      </c>
      <c r="C4" s="16" t="s">
        <v>33</v>
      </c>
      <c r="D4" s="17" t="s">
        <v>34</v>
      </c>
      <c r="E4" s="18">
        <f>+E5+E10+E19+E23+E43</f>
        <v>6847680.7600000016</v>
      </c>
      <c r="F4" s="18">
        <f>+F5+F10+F19+F23+F43</f>
        <v>6504576.709999999</v>
      </c>
      <c r="G4" s="18">
        <f t="shared" ref="G4:I4" si="0">+G5+G10+G19+G23+G43</f>
        <v>6582621.8700000001</v>
      </c>
      <c r="H4" s="18">
        <f t="shared" si="0"/>
        <v>6196795.2999999998</v>
      </c>
      <c r="I4" s="18">
        <f t="shared" si="0"/>
        <v>5824742.4100000001</v>
      </c>
    </row>
    <row r="5" spans="1:9">
      <c r="A5" s="19" t="s">
        <v>31</v>
      </c>
      <c r="B5" s="8" t="s">
        <v>32</v>
      </c>
      <c r="C5" s="16" t="s">
        <v>5</v>
      </c>
      <c r="D5" s="17" t="s">
        <v>35</v>
      </c>
      <c r="E5" s="20">
        <f>SUM(E6:E9)</f>
        <v>0</v>
      </c>
      <c r="F5" s="20">
        <f>SUM(F6:F9)</f>
        <v>0</v>
      </c>
      <c r="G5" s="20">
        <f t="shared" ref="G5:I5" si="1">SUM(G6:G9)</f>
        <v>0</v>
      </c>
      <c r="H5" s="20">
        <f t="shared" si="1"/>
        <v>0</v>
      </c>
      <c r="I5" s="20">
        <f t="shared" si="1"/>
        <v>0</v>
      </c>
    </row>
    <row r="6" spans="1:9">
      <c r="A6" s="19" t="s">
        <v>31</v>
      </c>
      <c r="B6" s="8" t="s">
        <v>32</v>
      </c>
      <c r="C6" s="8">
        <v>1</v>
      </c>
      <c r="D6" s="22" t="s">
        <v>36</v>
      </c>
      <c r="E6" s="51">
        <v>0</v>
      </c>
      <c r="F6" s="20">
        <v>0</v>
      </c>
      <c r="G6" s="20">
        <v>0</v>
      </c>
      <c r="H6" s="20">
        <v>0</v>
      </c>
      <c r="I6" s="20">
        <v>0</v>
      </c>
    </row>
    <row r="7" spans="1:9">
      <c r="A7" s="19" t="s">
        <v>31</v>
      </c>
      <c r="B7" s="8" t="s">
        <v>32</v>
      </c>
      <c r="C7" s="8">
        <v>2</v>
      </c>
      <c r="D7" s="22" t="s">
        <v>37</v>
      </c>
      <c r="E7" s="51">
        <v>0</v>
      </c>
      <c r="F7" s="20">
        <v>0</v>
      </c>
      <c r="G7" s="20">
        <v>0</v>
      </c>
      <c r="H7" s="20">
        <v>0</v>
      </c>
      <c r="I7" s="20">
        <v>0</v>
      </c>
    </row>
    <row r="8" spans="1:9">
      <c r="A8" s="19" t="s">
        <v>31</v>
      </c>
      <c r="B8" s="8" t="s">
        <v>32</v>
      </c>
      <c r="C8" s="8">
        <v>3</v>
      </c>
      <c r="D8" s="22" t="s">
        <v>38</v>
      </c>
      <c r="E8" s="51">
        <v>0</v>
      </c>
      <c r="F8" s="20">
        <v>0</v>
      </c>
      <c r="G8" s="20">
        <v>0</v>
      </c>
      <c r="H8" s="20">
        <v>0</v>
      </c>
      <c r="I8" s="20">
        <v>0</v>
      </c>
    </row>
    <row r="9" spans="1:9">
      <c r="A9" s="19" t="s">
        <v>31</v>
      </c>
      <c r="B9" s="8" t="s">
        <v>32</v>
      </c>
      <c r="C9" s="8">
        <v>4</v>
      </c>
      <c r="D9" s="22" t="s">
        <v>39</v>
      </c>
      <c r="E9" s="51">
        <v>0</v>
      </c>
      <c r="F9" s="20">
        <v>0</v>
      </c>
      <c r="G9" s="20">
        <v>0</v>
      </c>
      <c r="H9" s="20">
        <v>0</v>
      </c>
      <c r="I9" s="20">
        <v>0</v>
      </c>
    </row>
    <row r="10" spans="1:9">
      <c r="A10" s="15" t="s">
        <v>31</v>
      </c>
      <c r="B10" s="16" t="s">
        <v>32</v>
      </c>
      <c r="C10" s="16" t="s">
        <v>11</v>
      </c>
      <c r="D10" s="17" t="s">
        <v>40</v>
      </c>
      <c r="E10" s="18">
        <f>+E11+E17+E18</f>
        <v>6676203.6500000013</v>
      </c>
      <c r="F10" s="18">
        <f>+F11+F17+F18</f>
        <v>6387985.1499999994</v>
      </c>
      <c r="G10" s="18">
        <f t="shared" ref="G10:I10" si="2">+G11+G17+G18</f>
        <v>6507531.8799999999</v>
      </c>
      <c r="H10" s="18">
        <f t="shared" si="2"/>
        <v>6162663.5899999999</v>
      </c>
      <c r="I10" s="18">
        <f t="shared" si="2"/>
        <v>5824742.4100000001</v>
      </c>
    </row>
    <row r="11" spans="1:9">
      <c r="A11" s="19" t="s">
        <v>31</v>
      </c>
      <c r="B11" s="8" t="s">
        <v>32</v>
      </c>
      <c r="C11" s="8">
        <v>1</v>
      </c>
      <c r="D11" s="24" t="s">
        <v>41</v>
      </c>
      <c r="E11" s="20">
        <f>SUM(E12:E16)</f>
        <v>6676203.6500000013</v>
      </c>
      <c r="F11" s="20">
        <f>SUM(F12:F16)</f>
        <v>6387985.1499999994</v>
      </c>
      <c r="G11" s="20">
        <f t="shared" ref="G11:I11" si="3">SUM(G12:G16)</f>
        <v>6507531.8799999999</v>
      </c>
      <c r="H11" s="20">
        <f t="shared" si="3"/>
        <v>6162663.5899999999</v>
      </c>
      <c r="I11" s="20">
        <f t="shared" si="3"/>
        <v>5824742.4100000001</v>
      </c>
    </row>
    <row r="12" spans="1:9">
      <c r="A12" s="19" t="s">
        <v>31</v>
      </c>
      <c r="B12" s="8" t="s">
        <v>32</v>
      </c>
      <c r="C12" s="8" t="s">
        <v>42</v>
      </c>
      <c r="D12" s="22" t="s">
        <v>43</v>
      </c>
      <c r="E12" s="51">
        <v>448054.33</v>
      </c>
      <c r="F12" s="20">
        <v>448054.33</v>
      </c>
      <c r="G12" s="20">
        <v>448054.33</v>
      </c>
      <c r="H12" s="20">
        <v>448054.33</v>
      </c>
      <c r="I12" s="20">
        <v>448054.33</v>
      </c>
    </row>
    <row r="13" spans="1:9">
      <c r="A13" s="19" t="s">
        <v>31</v>
      </c>
      <c r="B13" s="8" t="s">
        <v>32</v>
      </c>
      <c r="C13" s="8" t="s">
        <v>44</v>
      </c>
      <c r="D13" s="22" t="s">
        <v>45</v>
      </c>
      <c r="E13" s="51">
        <v>5915905.6200000001</v>
      </c>
      <c r="F13" s="20">
        <v>5712208.75</v>
      </c>
      <c r="G13" s="20">
        <v>5508511.8799999999</v>
      </c>
      <c r="H13" s="20">
        <v>5304815.01</v>
      </c>
      <c r="I13" s="20">
        <v>5101118.1399999997</v>
      </c>
    </row>
    <row r="14" spans="1:9">
      <c r="A14" s="19" t="s">
        <v>31</v>
      </c>
      <c r="B14" s="8" t="s">
        <v>32</v>
      </c>
      <c r="C14" s="8" t="s">
        <v>46</v>
      </c>
      <c r="D14" s="22" t="s">
        <v>47</v>
      </c>
      <c r="E14" s="51">
        <v>18804.23</v>
      </c>
      <c r="F14" s="20">
        <v>27638.83</v>
      </c>
      <c r="G14" s="20">
        <v>11419.98</v>
      </c>
      <c r="H14" s="20">
        <v>7832.11</v>
      </c>
      <c r="I14" s="20">
        <v>4244.24</v>
      </c>
    </row>
    <row r="15" spans="1:9">
      <c r="A15" s="19" t="s">
        <v>31</v>
      </c>
      <c r="B15" s="8" t="s">
        <v>32</v>
      </c>
      <c r="C15" s="8" t="s">
        <v>48</v>
      </c>
      <c r="D15" s="22" t="s">
        <v>49</v>
      </c>
      <c r="E15" s="51">
        <v>23635.19</v>
      </c>
      <c r="F15" s="20">
        <v>16836.02</v>
      </c>
      <c r="G15" s="20">
        <v>10036.85</v>
      </c>
      <c r="H15" s="20">
        <v>3237.68</v>
      </c>
      <c r="I15" s="20">
        <v>0</v>
      </c>
    </row>
    <row r="16" spans="1:9">
      <c r="A16" s="19" t="s">
        <v>31</v>
      </c>
      <c r="B16" s="8" t="s">
        <v>32</v>
      </c>
      <c r="C16" s="8" t="s">
        <v>50</v>
      </c>
      <c r="D16" s="22" t="s">
        <v>51</v>
      </c>
      <c r="E16" s="51">
        <v>269804.28000000003</v>
      </c>
      <c r="F16" s="20">
        <v>183247.22</v>
      </c>
      <c r="G16" s="20">
        <v>529508.84</v>
      </c>
      <c r="H16" s="20">
        <v>398724.46</v>
      </c>
      <c r="I16" s="20">
        <v>271325.7</v>
      </c>
    </row>
    <row r="17" spans="1:9">
      <c r="A17" s="19" t="s">
        <v>31</v>
      </c>
      <c r="B17" s="8" t="s">
        <v>32</v>
      </c>
      <c r="C17" s="8">
        <v>2</v>
      </c>
      <c r="D17" s="22" t="s">
        <v>52</v>
      </c>
      <c r="E17" s="51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>
      <c r="A18" s="19" t="s">
        <v>31</v>
      </c>
      <c r="B18" s="8" t="s">
        <v>32</v>
      </c>
      <c r="C18" s="8">
        <v>3</v>
      </c>
      <c r="D18" s="22" t="s">
        <v>53</v>
      </c>
      <c r="E18" s="51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>
      <c r="A19" s="15" t="s">
        <v>31</v>
      </c>
      <c r="B19" s="16" t="s">
        <v>32</v>
      </c>
      <c r="C19" s="16" t="s">
        <v>16</v>
      </c>
      <c r="D19" s="17" t="s">
        <v>54</v>
      </c>
      <c r="E19" s="18">
        <f>+E20+E21+E22</f>
        <v>0</v>
      </c>
      <c r="F19" s="18">
        <f>+F20+F21+F22</f>
        <v>0</v>
      </c>
      <c r="G19" s="18">
        <f>+G20+G21+G22</f>
        <v>0</v>
      </c>
      <c r="H19" s="18">
        <f>+H20+H21+H22</f>
        <v>0</v>
      </c>
      <c r="I19" s="18">
        <f>+I20+I21+I22</f>
        <v>0</v>
      </c>
    </row>
    <row r="20" spans="1:9">
      <c r="A20" s="19" t="s">
        <v>31</v>
      </c>
      <c r="B20" s="8" t="s">
        <v>32</v>
      </c>
      <c r="C20" s="8">
        <v>1</v>
      </c>
      <c r="D20" s="22" t="s">
        <v>55</v>
      </c>
      <c r="E20" s="51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ht="22.5">
      <c r="A21" s="19" t="s">
        <v>31</v>
      </c>
      <c r="B21" s="8" t="s">
        <v>32</v>
      </c>
      <c r="C21" s="8">
        <v>2</v>
      </c>
      <c r="D21" s="22" t="s">
        <v>210</v>
      </c>
      <c r="E21" s="51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>
      <c r="A22" s="19" t="s">
        <v>31</v>
      </c>
      <c r="B22" s="8" t="s">
        <v>32</v>
      </c>
      <c r="C22" s="8">
        <v>3</v>
      </c>
      <c r="D22" s="22" t="s">
        <v>56</v>
      </c>
      <c r="E22" s="51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>
      <c r="A23" s="15" t="s">
        <v>31</v>
      </c>
      <c r="B23" s="16" t="s">
        <v>32</v>
      </c>
      <c r="C23" s="16" t="s">
        <v>21</v>
      </c>
      <c r="D23" s="25" t="s">
        <v>57</v>
      </c>
      <c r="E23" s="18">
        <f>SUM(E24:E26,E42)</f>
        <v>0</v>
      </c>
      <c r="F23" s="18">
        <f>SUM(F24:F26,F42)</f>
        <v>0</v>
      </c>
      <c r="G23" s="18">
        <f t="shared" ref="G23:I23" si="4">SUM(G24:G26,G42)</f>
        <v>0</v>
      </c>
      <c r="H23" s="18">
        <f t="shared" si="4"/>
        <v>0</v>
      </c>
      <c r="I23" s="18">
        <f t="shared" si="4"/>
        <v>0</v>
      </c>
    </row>
    <row r="24" spans="1:9">
      <c r="A24" s="19" t="s">
        <v>31</v>
      </c>
      <c r="B24" s="8" t="s">
        <v>32</v>
      </c>
      <c r="C24" s="8">
        <v>1</v>
      </c>
      <c r="D24" s="22" t="s">
        <v>58</v>
      </c>
      <c r="E24" s="51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>
      <c r="A25" s="19" t="s">
        <v>31</v>
      </c>
      <c r="B25" s="8" t="s">
        <v>32</v>
      </c>
      <c r="C25" s="8">
        <v>2</v>
      </c>
      <c r="D25" s="22" t="s">
        <v>35</v>
      </c>
      <c r="E25" s="51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>
      <c r="A26" s="19" t="s">
        <v>31</v>
      </c>
      <c r="B26" s="8" t="s">
        <v>32</v>
      </c>
      <c r="C26" s="8">
        <v>3</v>
      </c>
      <c r="D26" s="22" t="s">
        <v>59</v>
      </c>
      <c r="E26" s="51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>
      <c r="A27" s="19" t="s">
        <v>31</v>
      </c>
      <c r="B27" s="8" t="s">
        <v>32</v>
      </c>
      <c r="C27" s="8" t="s">
        <v>42</v>
      </c>
      <c r="D27" s="22" t="s">
        <v>60</v>
      </c>
      <c r="E27" s="51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>
      <c r="A28" s="19" t="s">
        <v>31</v>
      </c>
      <c r="B28" s="8" t="s">
        <v>32</v>
      </c>
      <c r="C28" s="8" t="s">
        <v>61</v>
      </c>
      <c r="D28" s="22" t="s">
        <v>90</v>
      </c>
      <c r="E28" s="51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>
      <c r="A29" s="19" t="s">
        <v>31</v>
      </c>
      <c r="B29" s="8" t="s">
        <v>32</v>
      </c>
      <c r="C29" s="8" t="s">
        <v>61</v>
      </c>
      <c r="D29" s="22" t="s">
        <v>62</v>
      </c>
      <c r="E29" s="51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>
      <c r="A30" s="19" t="s">
        <v>31</v>
      </c>
      <c r="B30" s="8" t="s">
        <v>32</v>
      </c>
      <c r="C30" s="8" t="s">
        <v>61</v>
      </c>
      <c r="D30" s="22" t="s">
        <v>63</v>
      </c>
      <c r="E30" s="51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>
      <c r="A31" s="19" t="s">
        <v>31</v>
      </c>
      <c r="B31" s="8" t="s">
        <v>32</v>
      </c>
      <c r="C31" s="8" t="s">
        <v>61</v>
      </c>
      <c r="D31" s="22" t="s">
        <v>64</v>
      </c>
      <c r="E31" s="51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ht="22.5">
      <c r="A32" s="19" t="s">
        <v>31</v>
      </c>
      <c r="B32" s="8" t="s">
        <v>32</v>
      </c>
      <c r="C32" s="8" t="s">
        <v>44</v>
      </c>
      <c r="D32" s="22" t="s">
        <v>208</v>
      </c>
      <c r="E32" s="51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>
      <c r="A33" s="19" t="s">
        <v>31</v>
      </c>
      <c r="B33" s="8" t="s">
        <v>32</v>
      </c>
      <c r="C33" s="8" t="s">
        <v>61</v>
      </c>
      <c r="D33" s="22" t="s">
        <v>90</v>
      </c>
      <c r="E33" s="51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>
      <c r="A34" s="19" t="s">
        <v>31</v>
      </c>
      <c r="B34" s="8" t="s">
        <v>32</v>
      </c>
      <c r="C34" s="8" t="s">
        <v>61</v>
      </c>
      <c r="D34" s="22" t="s">
        <v>62</v>
      </c>
      <c r="E34" s="51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>
      <c r="A35" s="19" t="s">
        <v>31</v>
      </c>
      <c r="B35" s="8" t="s">
        <v>32</v>
      </c>
      <c r="C35" s="8" t="s">
        <v>61</v>
      </c>
      <c r="D35" s="22" t="s">
        <v>63</v>
      </c>
      <c r="E35" s="51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>
      <c r="A36" s="19" t="s">
        <v>31</v>
      </c>
      <c r="B36" s="8" t="s">
        <v>32</v>
      </c>
      <c r="C36" s="8" t="s">
        <v>61</v>
      </c>
      <c r="D36" s="22" t="s">
        <v>64</v>
      </c>
      <c r="E36" s="51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>
      <c r="A37" s="19" t="s">
        <v>31</v>
      </c>
      <c r="B37" s="8" t="s">
        <v>32</v>
      </c>
      <c r="C37" s="8" t="s">
        <v>46</v>
      </c>
      <c r="D37" s="22" t="s">
        <v>65</v>
      </c>
      <c r="E37" s="51">
        <v>0</v>
      </c>
      <c r="F37" s="20">
        <v>0</v>
      </c>
      <c r="G37" s="20">
        <v>0</v>
      </c>
      <c r="H37" s="20">
        <v>0</v>
      </c>
      <c r="I37" s="20">
        <v>0</v>
      </c>
    </row>
    <row r="38" spans="1:9">
      <c r="A38" s="19" t="s">
        <v>31</v>
      </c>
      <c r="B38" s="8" t="s">
        <v>32</v>
      </c>
      <c r="C38" s="8" t="s">
        <v>61</v>
      </c>
      <c r="D38" s="22" t="s">
        <v>90</v>
      </c>
      <c r="E38" s="51">
        <v>0</v>
      </c>
      <c r="F38" s="20">
        <v>0</v>
      </c>
      <c r="G38" s="20">
        <v>0</v>
      </c>
      <c r="H38" s="20">
        <v>0</v>
      </c>
      <c r="I38" s="20">
        <v>0</v>
      </c>
    </row>
    <row r="39" spans="1:9">
      <c r="A39" s="19" t="s">
        <v>31</v>
      </c>
      <c r="B39" s="8" t="s">
        <v>32</v>
      </c>
      <c r="C39" s="8" t="s">
        <v>61</v>
      </c>
      <c r="D39" s="22" t="s">
        <v>62</v>
      </c>
      <c r="E39" s="51">
        <v>0</v>
      </c>
      <c r="F39" s="20">
        <v>0</v>
      </c>
      <c r="G39" s="20">
        <v>0</v>
      </c>
      <c r="H39" s="20">
        <v>0</v>
      </c>
      <c r="I39" s="20">
        <v>0</v>
      </c>
    </row>
    <row r="40" spans="1:9">
      <c r="A40" s="19" t="s">
        <v>31</v>
      </c>
      <c r="B40" s="8" t="s">
        <v>32</v>
      </c>
      <c r="C40" s="8" t="s">
        <v>61</v>
      </c>
      <c r="D40" s="22" t="s">
        <v>63</v>
      </c>
      <c r="E40" s="51">
        <v>0</v>
      </c>
      <c r="F40" s="20">
        <v>0</v>
      </c>
      <c r="G40" s="20">
        <v>0</v>
      </c>
      <c r="H40" s="20">
        <v>0</v>
      </c>
      <c r="I40" s="20">
        <v>0</v>
      </c>
    </row>
    <row r="41" spans="1:9">
      <c r="A41" s="19" t="s">
        <v>31</v>
      </c>
      <c r="B41" s="8" t="s">
        <v>32</v>
      </c>
      <c r="C41" s="8" t="s">
        <v>61</v>
      </c>
      <c r="D41" s="22" t="s">
        <v>64</v>
      </c>
      <c r="E41" s="51">
        <v>0</v>
      </c>
      <c r="F41" s="20">
        <v>0</v>
      </c>
      <c r="G41" s="20">
        <v>0</v>
      </c>
      <c r="H41" s="20">
        <v>0</v>
      </c>
      <c r="I41" s="20">
        <v>0</v>
      </c>
    </row>
    <row r="42" spans="1:9">
      <c r="A42" s="19" t="s">
        <v>31</v>
      </c>
      <c r="B42" s="8" t="s">
        <v>32</v>
      </c>
      <c r="C42" s="8">
        <v>4</v>
      </c>
      <c r="D42" s="22" t="s">
        <v>66</v>
      </c>
      <c r="E42" s="51">
        <v>0</v>
      </c>
      <c r="F42" s="20">
        <v>0</v>
      </c>
      <c r="G42" s="20">
        <v>0</v>
      </c>
      <c r="H42" s="20">
        <v>0</v>
      </c>
      <c r="I42" s="20">
        <v>0</v>
      </c>
    </row>
    <row r="43" spans="1:9">
      <c r="A43" s="15" t="s">
        <v>31</v>
      </c>
      <c r="B43" s="16" t="s">
        <v>32</v>
      </c>
      <c r="C43" s="16" t="s">
        <v>67</v>
      </c>
      <c r="D43" s="17" t="s">
        <v>68</v>
      </c>
      <c r="E43" s="18">
        <f>+E45+E44</f>
        <v>171477.11</v>
      </c>
      <c r="F43" s="18">
        <f>+F45+F44</f>
        <v>116591.56</v>
      </c>
      <c r="G43" s="18">
        <f t="shared" ref="G43:I43" si="5">+G45+G44</f>
        <v>75089.990000000005</v>
      </c>
      <c r="H43" s="18">
        <f t="shared" si="5"/>
        <v>34131.71</v>
      </c>
      <c r="I43" s="18">
        <f t="shared" si="5"/>
        <v>0</v>
      </c>
    </row>
    <row r="44" spans="1:9">
      <c r="A44" s="19" t="s">
        <v>31</v>
      </c>
      <c r="B44" s="8" t="s">
        <v>32</v>
      </c>
      <c r="C44" s="8">
        <v>1</v>
      </c>
      <c r="D44" s="22" t="s">
        <v>69</v>
      </c>
      <c r="E44" s="51">
        <v>0</v>
      </c>
      <c r="F44" s="20">
        <v>0</v>
      </c>
      <c r="G44" s="20">
        <v>0</v>
      </c>
      <c r="H44" s="20">
        <v>0</v>
      </c>
      <c r="I44" s="20">
        <v>0</v>
      </c>
    </row>
    <row r="45" spans="1:9">
      <c r="A45" s="19" t="s">
        <v>31</v>
      </c>
      <c r="B45" s="8" t="s">
        <v>32</v>
      </c>
      <c r="C45" s="8">
        <v>2</v>
      </c>
      <c r="D45" s="22" t="s">
        <v>70</v>
      </c>
      <c r="E45" s="51">
        <v>171477.11</v>
      </c>
      <c r="F45" s="20">
        <v>116591.56</v>
      </c>
      <c r="G45" s="20">
        <v>75089.990000000005</v>
      </c>
      <c r="H45" s="20">
        <v>34131.71</v>
      </c>
      <c r="I45" s="20">
        <v>0</v>
      </c>
    </row>
    <row r="46" spans="1:9">
      <c r="A46" s="15" t="s">
        <v>31</v>
      </c>
      <c r="B46" s="8" t="s">
        <v>32</v>
      </c>
      <c r="C46" s="16" t="s">
        <v>71</v>
      </c>
      <c r="D46" s="17" t="s">
        <v>72</v>
      </c>
      <c r="E46" s="18">
        <f>+E47+E53+E71+E88</f>
        <v>2527343.4</v>
      </c>
      <c r="F46" s="18">
        <f>+F47+F53+F71+F88</f>
        <v>3212638.75</v>
      </c>
      <c r="G46" s="18">
        <f>+G47+G53+G71+G88</f>
        <v>3016223.61</v>
      </c>
      <c r="H46" s="18">
        <f>+H47+H53+H71+H88</f>
        <v>3312374.31</v>
      </c>
      <c r="I46" s="18">
        <f>+I47+I53+I71+I88</f>
        <v>3665176.02</v>
      </c>
    </row>
    <row r="47" spans="1:9">
      <c r="A47" s="15" t="s">
        <v>31</v>
      </c>
      <c r="B47" s="16" t="s">
        <v>32</v>
      </c>
      <c r="C47" s="16" t="s">
        <v>5</v>
      </c>
      <c r="D47" s="17" t="s">
        <v>73</v>
      </c>
      <c r="E47" s="18">
        <f>SUM(E48:E52)</f>
        <v>58242.48</v>
      </c>
      <c r="F47" s="18">
        <f>SUM(F48:F52)</f>
        <v>246439.16</v>
      </c>
      <c r="G47" s="18">
        <f t="shared" ref="G47:I47" si="6">SUM(G48:G52)</f>
        <v>60000</v>
      </c>
      <c r="H47" s="18">
        <f t="shared" si="6"/>
        <v>65000</v>
      </c>
      <c r="I47" s="18">
        <f t="shared" si="6"/>
        <v>65000</v>
      </c>
    </row>
    <row r="48" spans="1:9">
      <c r="A48" s="19" t="s">
        <v>31</v>
      </c>
      <c r="B48" s="8" t="s">
        <v>32</v>
      </c>
      <c r="C48" s="8">
        <v>1</v>
      </c>
      <c r="D48" s="22" t="s">
        <v>74</v>
      </c>
      <c r="E48" s="51">
        <v>58242.48</v>
      </c>
      <c r="F48" s="20">
        <v>246439.16</v>
      </c>
      <c r="G48" s="20">
        <v>60000</v>
      </c>
      <c r="H48" s="20">
        <v>65000</v>
      </c>
      <c r="I48" s="20">
        <v>65000</v>
      </c>
    </row>
    <row r="49" spans="1:9">
      <c r="A49" s="19" t="s">
        <v>31</v>
      </c>
      <c r="B49" s="8" t="s">
        <v>32</v>
      </c>
      <c r="C49" s="8">
        <v>2</v>
      </c>
      <c r="D49" s="22" t="s">
        <v>75</v>
      </c>
      <c r="E49" s="51">
        <v>0</v>
      </c>
      <c r="F49" s="20">
        <v>0</v>
      </c>
      <c r="G49" s="20">
        <v>0</v>
      </c>
      <c r="H49" s="20">
        <v>0</v>
      </c>
      <c r="I49" s="20">
        <v>0</v>
      </c>
    </row>
    <row r="50" spans="1:9">
      <c r="A50" s="19" t="s">
        <v>31</v>
      </c>
      <c r="B50" s="8" t="s">
        <v>32</v>
      </c>
      <c r="C50" s="8">
        <v>3</v>
      </c>
      <c r="D50" s="22" t="s">
        <v>76</v>
      </c>
      <c r="E50" s="51">
        <v>0</v>
      </c>
      <c r="F50" s="20">
        <v>0</v>
      </c>
      <c r="G50" s="20">
        <v>0</v>
      </c>
      <c r="H50" s="20">
        <v>0</v>
      </c>
      <c r="I50" s="20">
        <v>0</v>
      </c>
    </row>
    <row r="51" spans="1:9">
      <c r="A51" s="19" t="s">
        <v>31</v>
      </c>
      <c r="B51" s="8" t="s">
        <v>32</v>
      </c>
      <c r="C51" s="8">
        <v>4</v>
      </c>
      <c r="D51" s="22" t="s">
        <v>77</v>
      </c>
      <c r="E51" s="51">
        <v>0</v>
      </c>
      <c r="F51" s="20">
        <v>0</v>
      </c>
      <c r="G51" s="20">
        <v>0</v>
      </c>
      <c r="H51" s="20">
        <v>0</v>
      </c>
      <c r="I51" s="20">
        <v>0</v>
      </c>
    </row>
    <row r="52" spans="1:9">
      <c r="A52" s="19" t="s">
        <v>31</v>
      </c>
      <c r="B52" s="8" t="s">
        <v>32</v>
      </c>
      <c r="C52" s="8">
        <v>5</v>
      </c>
      <c r="D52" s="22" t="s">
        <v>78</v>
      </c>
      <c r="E52" s="51">
        <v>0</v>
      </c>
      <c r="F52" s="20">
        <v>0</v>
      </c>
      <c r="G52" s="20">
        <v>0</v>
      </c>
      <c r="H52" s="20">
        <v>0</v>
      </c>
      <c r="I52" s="20">
        <v>0</v>
      </c>
    </row>
    <row r="53" spans="1:9">
      <c r="A53" s="15" t="s">
        <v>31</v>
      </c>
      <c r="B53" s="16" t="s">
        <v>32</v>
      </c>
      <c r="C53" s="16" t="s">
        <v>11</v>
      </c>
      <c r="D53" s="17" t="s">
        <v>79</v>
      </c>
      <c r="E53" s="18">
        <f>+E54+E59+E64</f>
        <v>979125.21</v>
      </c>
      <c r="F53" s="18">
        <f t="shared" ref="F53:I53" si="7">+F54+F59+F64</f>
        <v>1015151.29</v>
      </c>
      <c r="G53" s="18">
        <f t="shared" si="7"/>
        <v>1030000</v>
      </c>
      <c r="H53" s="18">
        <f t="shared" si="7"/>
        <v>1030000</v>
      </c>
      <c r="I53" s="18">
        <f t="shared" si="7"/>
        <v>1030000</v>
      </c>
    </row>
    <row r="54" spans="1:9">
      <c r="A54" s="19" t="s">
        <v>31</v>
      </c>
      <c r="B54" s="8" t="s">
        <v>32</v>
      </c>
      <c r="C54" s="8">
        <v>1</v>
      </c>
      <c r="D54" s="24" t="s">
        <v>80</v>
      </c>
      <c r="E54" s="20">
        <f>+E55+E58</f>
        <v>0</v>
      </c>
      <c r="F54" s="20">
        <f>+F55+F58</f>
        <v>0</v>
      </c>
      <c r="G54" s="20">
        <f t="shared" ref="G54:I54" si="8">+G55+G58</f>
        <v>0</v>
      </c>
      <c r="H54" s="20">
        <f t="shared" si="8"/>
        <v>0</v>
      </c>
      <c r="I54" s="20">
        <f t="shared" si="8"/>
        <v>0</v>
      </c>
    </row>
    <row r="55" spans="1:9">
      <c r="A55" s="19" t="s">
        <v>31</v>
      </c>
      <c r="B55" s="8" t="s">
        <v>32</v>
      </c>
      <c r="C55" s="8" t="s">
        <v>42</v>
      </c>
      <c r="D55" s="24" t="s">
        <v>81</v>
      </c>
      <c r="E55" s="20">
        <f>+E56+E57</f>
        <v>0</v>
      </c>
      <c r="F55" s="20">
        <f>+F56+F57</f>
        <v>0</v>
      </c>
      <c r="G55" s="20">
        <f t="shared" ref="G55:I55" si="9">+G56+G57</f>
        <v>0</v>
      </c>
      <c r="H55" s="20">
        <f t="shared" si="9"/>
        <v>0</v>
      </c>
      <c r="I55" s="20">
        <f t="shared" si="9"/>
        <v>0</v>
      </c>
    </row>
    <row r="56" spans="1:9">
      <c r="A56" s="19" t="s">
        <v>31</v>
      </c>
      <c r="B56" s="8" t="s">
        <v>32</v>
      </c>
      <c r="C56" s="8" t="s">
        <v>61</v>
      </c>
      <c r="D56" s="22" t="s">
        <v>82</v>
      </c>
      <c r="E56" s="51">
        <v>0</v>
      </c>
      <c r="F56" s="20">
        <v>0</v>
      </c>
      <c r="G56" s="20">
        <v>0</v>
      </c>
      <c r="H56" s="20">
        <v>0</v>
      </c>
      <c r="I56" s="20">
        <v>0</v>
      </c>
    </row>
    <row r="57" spans="1:9">
      <c r="A57" s="19" t="s">
        <v>31</v>
      </c>
      <c r="B57" s="8" t="s">
        <v>32</v>
      </c>
      <c r="C57" s="8" t="s">
        <v>61</v>
      </c>
      <c r="D57" s="22" t="s">
        <v>83</v>
      </c>
      <c r="E57" s="51">
        <v>0</v>
      </c>
      <c r="F57" s="20">
        <v>0</v>
      </c>
      <c r="G57" s="20">
        <v>0</v>
      </c>
      <c r="H57" s="20">
        <v>0</v>
      </c>
      <c r="I57" s="20">
        <v>0</v>
      </c>
    </row>
    <row r="58" spans="1:9">
      <c r="A58" s="19" t="s">
        <v>31</v>
      </c>
      <c r="B58" s="8" t="s">
        <v>32</v>
      </c>
      <c r="C58" s="8" t="s">
        <v>44</v>
      </c>
      <c r="D58" s="22" t="s">
        <v>84</v>
      </c>
      <c r="E58" s="51">
        <v>0</v>
      </c>
      <c r="F58" s="20">
        <v>0</v>
      </c>
      <c r="G58" s="20">
        <v>0</v>
      </c>
      <c r="H58" s="20">
        <v>0</v>
      </c>
      <c r="I58" s="20">
        <v>0</v>
      </c>
    </row>
    <row r="59" spans="1:9" ht="22.5">
      <c r="A59" s="19" t="s">
        <v>31</v>
      </c>
      <c r="B59" s="8" t="s">
        <v>32</v>
      </c>
      <c r="C59" s="8">
        <v>2</v>
      </c>
      <c r="D59" s="136" t="s">
        <v>209</v>
      </c>
      <c r="E59" s="137">
        <f>+E60+E63</f>
        <v>0</v>
      </c>
      <c r="F59" s="137">
        <f>+F60+F63</f>
        <v>0</v>
      </c>
      <c r="G59" s="137">
        <f t="shared" ref="G59:I59" si="10">+G60+G63</f>
        <v>0</v>
      </c>
      <c r="H59" s="137">
        <f t="shared" si="10"/>
        <v>0</v>
      </c>
      <c r="I59" s="137">
        <f t="shared" si="10"/>
        <v>0</v>
      </c>
    </row>
    <row r="60" spans="1:9">
      <c r="A60" s="19" t="s">
        <v>31</v>
      </c>
      <c r="B60" s="8" t="s">
        <v>32</v>
      </c>
      <c r="D60" s="24" t="s">
        <v>81</v>
      </c>
      <c r="E60" s="137">
        <f>+E61+E62</f>
        <v>0</v>
      </c>
      <c r="F60" s="137">
        <f t="shared" ref="F60:I60" si="11">+F61+F62</f>
        <v>0</v>
      </c>
      <c r="G60" s="137">
        <f t="shared" si="11"/>
        <v>0</v>
      </c>
      <c r="H60" s="137">
        <f t="shared" si="11"/>
        <v>0</v>
      </c>
      <c r="I60" s="137">
        <f t="shared" si="11"/>
        <v>0</v>
      </c>
    </row>
    <row r="61" spans="1:9">
      <c r="A61" s="19" t="s">
        <v>31</v>
      </c>
      <c r="B61" s="8" t="s">
        <v>32</v>
      </c>
      <c r="D61" s="22" t="s">
        <v>82</v>
      </c>
      <c r="E61" s="51">
        <v>0</v>
      </c>
      <c r="F61" s="20">
        <v>0</v>
      </c>
      <c r="G61" s="20">
        <v>0</v>
      </c>
      <c r="H61" s="20">
        <v>0</v>
      </c>
      <c r="I61" s="20">
        <v>0</v>
      </c>
    </row>
    <row r="62" spans="1:9">
      <c r="A62" s="19" t="s">
        <v>31</v>
      </c>
      <c r="B62" s="8" t="s">
        <v>32</v>
      </c>
      <c r="D62" s="22" t="s">
        <v>83</v>
      </c>
      <c r="E62" s="51">
        <v>0</v>
      </c>
      <c r="F62" s="20">
        <v>0</v>
      </c>
      <c r="G62" s="20">
        <v>0</v>
      </c>
      <c r="H62" s="20">
        <v>0</v>
      </c>
      <c r="I62" s="20">
        <v>0</v>
      </c>
    </row>
    <row r="63" spans="1:9">
      <c r="A63" s="19" t="s">
        <v>31</v>
      </c>
      <c r="B63" s="8" t="s">
        <v>32</v>
      </c>
      <c r="D63" s="22" t="s">
        <v>84</v>
      </c>
      <c r="E63" s="51">
        <v>0</v>
      </c>
      <c r="F63" s="20">
        <v>0</v>
      </c>
      <c r="G63" s="20">
        <v>0</v>
      </c>
      <c r="H63" s="20">
        <v>0</v>
      </c>
      <c r="I63" s="20">
        <v>0</v>
      </c>
    </row>
    <row r="64" spans="1:9">
      <c r="A64" s="19" t="s">
        <v>31</v>
      </c>
      <c r="B64" s="8" t="s">
        <v>32</v>
      </c>
      <c r="C64" s="8">
        <v>3</v>
      </c>
      <c r="D64" s="24" t="s">
        <v>85</v>
      </c>
      <c r="E64" s="20">
        <f>+E65+E68+E69+E70</f>
        <v>979125.21</v>
      </c>
      <c r="F64" s="20">
        <f>+F65+F68+F69+F70</f>
        <v>1015151.29</v>
      </c>
      <c r="G64" s="20">
        <f t="shared" ref="G64:I64" si="12">+G65+G68+G69+G70</f>
        <v>1030000</v>
      </c>
      <c r="H64" s="20">
        <f t="shared" si="12"/>
        <v>1030000</v>
      </c>
      <c r="I64" s="20">
        <f t="shared" si="12"/>
        <v>1030000</v>
      </c>
    </row>
    <row r="65" spans="1:9">
      <c r="A65" s="19" t="s">
        <v>31</v>
      </c>
      <c r="B65" s="8" t="s">
        <v>32</v>
      </c>
      <c r="C65" s="8" t="s">
        <v>42</v>
      </c>
      <c r="D65" s="24" t="s">
        <v>81</v>
      </c>
      <c r="E65" s="20">
        <f>+E66+E67</f>
        <v>931625.24</v>
      </c>
      <c r="F65" s="20">
        <f>+F66+F67</f>
        <v>981582.53</v>
      </c>
      <c r="G65" s="20">
        <f t="shared" ref="G65:I65" si="13">+G66+G67</f>
        <v>980000</v>
      </c>
      <c r="H65" s="20">
        <f t="shared" si="13"/>
        <v>980000</v>
      </c>
      <c r="I65" s="20">
        <f t="shared" si="13"/>
        <v>980000</v>
      </c>
    </row>
    <row r="66" spans="1:9">
      <c r="A66" s="19" t="s">
        <v>31</v>
      </c>
      <c r="B66" s="8" t="s">
        <v>32</v>
      </c>
      <c r="C66" s="8" t="s">
        <v>61</v>
      </c>
      <c r="D66" s="22" t="s">
        <v>82</v>
      </c>
      <c r="E66" s="51">
        <v>931625.24</v>
      </c>
      <c r="F66" s="20">
        <v>981582.53</v>
      </c>
      <c r="G66" s="20">
        <v>980000</v>
      </c>
      <c r="H66" s="20">
        <v>980000</v>
      </c>
      <c r="I66" s="20">
        <v>980000</v>
      </c>
    </row>
    <row r="67" spans="1:9">
      <c r="A67" s="19" t="s">
        <v>31</v>
      </c>
      <c r="B67" s="8" t="s">
        <v>32</v>
      </c>
      <c r="C67" s="8" t="s">
        <v>61</v>
      </c>
      <c r="D67" s="22" t="s">
        <v>83</v>
      </c>
      <c r="E67" s="51">
        <v>0</v>
      </c>
      <c r="F67" s="20">
        <v>0</v>
      </c>
      <c r="G67" s="20">
        <v>0</v>
      </c>
      <c r="H67" s="20">
        <v>0</v>
      </c>
      <c r="I67" s="20">
        <v>0</v>
      </c>
    </row>
    <row r="68" spans="1:9" ht="22.5">
      <c r="A68" s="19" t="s">
        <v>31</v>
      </c>
      <c r="B68" s="8" t="s">
        <v>32</v>
      </c>
      <c r="C68" s="8" t="s">
        <v>44</v>
      </c>
      <c r="D68" s="22" t="s">
        <v>86</v>
      </c>
      <c r="E68" s="51">
        <v>0</v>
      </c>
      <c r="F68" s="20">
        <v>3423</v>
      </c>
      <c r="G68" s="20">
        <v>0</v>
      </c>
      <c r="H68" s="20">
        <v>0</v>
      </c>
      <c r="I68" s="20">
        <v>0</v>
      </c>
    </row>
    <row r="69" spans="1:9">
      <c r="A69" s="19" t="s">
        <v>31</v>
      </c>
      <c r="B69" s="8" t="s">
        <v>32</v>
      </c>
      <c r="C69" s="8" t="s">
        <v>46</v>
      </c>
      <c r="D69" s="22" t="s">
        <v>84</v>
      </c>
      <c r="E69" s="51">
        <v>47499.97</v>
      </c>
      <c r="F69" s="20">
        <v>30145.759999999998</v>
      </c>
      <c r="G69" s="20">
        <v>50000</v>
      </c>
      <c r="H69" s="20">
        <v>50000</v>
      </c>
      <c r="I69" s="20">
        <v>50000</v>
      </c>
    </row>
    <row r="70" spans="1:9">
      <c r="A70" s="19" t="s">
        <v>31</v>
      </c>
      <c r="B70" s="8" t="s">
        <v>32</v>
      </c>
      <c r="C70" s="8" t="s">
        <v>48</v>
      </c>
      <c r="D70" s="22" t="s">
        <v>87</v>
      </c>
      <c r="E70" s="51">
        <v>0</v>
      </c>
      <c r="F70" s="20">
        <v>0</v>
      </c>
      <c r="G70" s="20">
        <v>0</v>
      </c>
      <c r="H70" s="20">
        <v>0</v>
      </c>
      <c r="I70" s="20">
        <v>0</v>
      </c>
    </row>
    <row r="71" spans="1:9">
      <c r="A71" s="15" t="s">
        <v>31</v>
      </c>
      <c r="B71" s="16" t="s">
        <v>32</v>
      </c>
      <c r="C71" s="16" t="s">
        <v>16</v>
      </c>
      <c r="D71" s="17" t="s">
        <v>88</v>
      </c>
      <c r="E71" s="18">
        <f>+E72+E87</f>
        <v>1417005.19</v>
      </c>
      <c r="F71" s="18">
        <f>+F72+F87</f>
        <v>1869170.82</v>
      </c>
      <c r="G71" s="18">
        <f t="shared" ref="G71:I71" si="14">+G72+G87</f>
        <v>1846223.6099999999</v>
      </c>
      <c r="H71" s="18">
        <f t="shared" si="14"/>
        <v>2142374.31</v>
      </c>
      <c r="I71" s="18">
        <f t="shared" si="14"/>
        <v>2495176.02</v>
      </c>
    </row>
    <row r="72" spans="1:9">
      <c r="A72" s="19" t="s">
        <v>31</v>
      </c>
      <c r="B72" s="8" t="s">
        <v>32</v>
      </c>
      <c r="C72" s="8">
        <v>1</v>
      </c>
      <c r="D72" s="24" t="s">
        <v>89</v>
      </c>
      <c r="E72" s="20">
        <f>+E73+E78+E83</f>
        <v>1417005.19</v>
      </c>
      <c r="F72" s="20">
        <f>+F73+F78+F83</f>
        <v>1869170.82</v>
      </c>
      <c r="G72" s="20">
        <f t="shared" ref="G72:I72" si="15">+G73+G78+G83</f>
        <v>1846223.6099999999</v>
      </c>
      <c r="H72" s="20">
        <f t="shared" si="15"/>
        <v>2142374.31</v>
      </c>
      <c r="I72" s="20">
        <f t="shared" si="15"/>
        <v>2495176.02</v>
      </c>
    </row>
    <row r="73" spans="1:9">
      <c r="A73" s="19" t="s">
        <v>31</v>
      </c>
      <c r="B73" s="8" t="s">
        <v>32</v>
      </c>
      <c r="C73" s="8" t="s">
        <v>42</v>
      </c>
      <c r="D73" s="24" t="s">
        <v>60</v>
      </c>
      <c r="E73" s="20">
        <f>SUM(E74:E77)</f>
        <v>0</v>
      </c>
      <c r="F73" s="20">
        <f>SUM(F74:F77)</f>
        <v>0</v>
      </c>
      <c r="G73" s="20">
        <f t="shared" ref="G73:I73" si="16">SUM(G74:G77)</f>
        <v>0</v>
      </c>
      <c r="H73" s="20">
        <f t="shared" si="16"/>
        <v>0</v>
      </c>
      <c r="I73" s="20">
        <f t="shared" si="16"/>
        <v>0</v>
      </c>
    </row>
    <row r="74" spans="1:9">
      <c r="A74" s="19" t="s">
        <v>31</v>
      </c>
      <c r="B74" s="8" t="s">
        <v>32</v>
      </c>
      <c r="C74" s="8" t="s">
        <v>61</v>
      </c>
      <c r="D74" s="22" t="s">
        <v>90</v>
      </c>
      <c r="E74" s="51">
        <v>0</v>
      </c>
      <c r="F74" s="20">
        <v>0</v>
      </c>
      <c r="G74" s="20">
        <v>0</v>
      </c>
      <c r="H74" s="20">
        <v>0</v>
      </c>
      <c r="I74" s="20">
        <v>0</v>
      </c>
    </row>
    <row r="75" spans="1:9">
      <c r="A75" s="19" t="s">
        <v>31</v>
      </c>
      <c r="B75" s="8" t="s">
        <v>32</v>
      </c>
      <c r="C75" s="8" t="s">
        <v>61</v>
      </c>
      <c r="D75" s="22" t="s">
        <v>62</v>
      </c>
      <c r="E75" s="51">
        <v>0</v>
      </c>
      <c r="F75" s="20">
        <v>0</v>
      </c>
      <c r="G75" s="20">
        <v>0</v>
      </c>
      <c r="H75" s="20">
        <v>0</v>
      </c>
      <c r="I75" s="20">
        <v>0</v>
      </c>
    </row>
    <row r="76" spans="1:9">
      <c r="A76" s="19" t="s">
        <v>31</v>
      </c>
      <c r="B76" s="8" t="s">
        <v>32</v>
      </c>
      <c r="C76" s="8" t="s">
        <v>61</v>
      </c>
      <c r="D76" s="22" t="s">
        <v>63</v>
      </c>
      <c r="E76" s="51">
        <v>0</v>
      </c>
      <c r="F76" s="20">
        <v>0</v>
      </c>
      <c r="G76" s="20">
        <v>0</v>
      </c>
      <c r="H76" s="20">
        <v>0</v>
      </c>
      <c r="I76" s="20">
        <v>0</v>
      </c>
    </row>
    <row r="77" spans="1:9">
      <c r="A77" s="19" t="s">
        <v>31</v>
      </c>
      <c r="B77" s="8" t="s">
        <v>32</v>
      </c>
      <c r="C77" s="8" t="s">
        <v>61</v>
      </c>
      <c r="D77" s="22" t="s">
        <v>91</v>
      </c>
      <c r="E77" s="51">
        <v>0</v>
      </c>
      <c r="F77" s="20">
        <v>0</v>
      </c>
      <c r="G77" s="20">
        <v>0</v>
      </c>
      <c r="H77" s="20">
        <v>0</v>
      </c>
      <c r="I77" s="20">
        <v>0</v>
      </c>
    </row>
    <row r="78" spans="1:9">
      <c r="A78" s="19" t="s">
        <v>31</v>
      </c>
      <c r="B78" s="8" t="s">
        <v>32</v>
      </c>
      <c r="C78" s="8" t="s">
        <v>44</v>
      </c>
      <c r="D78" s="24" t="s">
        <v>65</v>
      </c>
      <c r="E78" s="20">
        <f>SUM(E79:E82)</f>
        <v>400000</v>
      </c>
      <c r="F78" s="20">
        <f>SUM(F79:F82)</f>
        <v>0</v>
      </c>
      <c r="G78" s="20">
        <f t="shared" ref="G78:I78" si="17">SUM(G79:G82)</f>
        <v>0</v>
      </c>
      <c r="H78" s="20">
        <f t="shared" si="17"/>
        <v>0</v>
      </c>
      <c r="I78" s="20">
        <f t="shared" si="17"/>
        <v>0</v>
      </c>
    </row>
    <row r="79" spans="1:9">
      <c r="A79" s="19" t="s">
        <v>31</v>
      </c>
      <c r="B79" s="8" t="s">
        <v>32</v>
      </c>
      <c r="C79" s="8" t="s">
        <v>61</v>
      </c>
      <c r="D79" s="22" t="s">
        <v>90</v>
      </c>
      <c r="E79" s="51">
        <v>0</v>
      </c>
      <c r="F79" s="20">
        <v>0</v>
      </c>
      <c r="G79" s="20">
        <v>0</v>
      </c>
      <c r="H79" s="20">
        <v>0</v>
      </c>
      <c r="I79" s="20">
        <v>0</v>
      </c>
    </row>
    <row r="80" spans="1:9">
      <c r="A80" s="19" t="s">
        <v>31</v>
      </c>
      <c r="B80" s="8" t="s">
        <v>32</v>
      </c>
      <c r="C80" s="8" t="s">
        <v>61</v>
      </c>
      <c r="D80" s="22" t="s">
        <v>62</v>
      </c>
      <c r="E80" s="51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>
      <c r="A81" s="19" t="s">
        <v>31</v>
      </c>
      <c r="B81" s="8" t="s">
        <v>32</v>
      </c>
      <c r="C81" s="8" t="s">
        <v>61</v>
      </c>
      <c r="D81" s="22" t="s">
        <v>63</v>
      </c>
      <c r="E81" s="51">
        <v>0</v>
      </c>
      <c r="F81" s="20">
        <v>0</v>
      </c>
      <c r="G81" s="20">
        <v>0</v>
      </c>
      <c r="H81" s="20">
        <v>0</v>
      </c>
      <c r="I81" s="20">
        <v>0</v>
      </c>
    </row>
    <row r="82" spans="1:9">
      <c r="A82" s="19" t="s">
        <v>31</v>
      </c>
      <c r="B82" s="8" t="s">
        <v>32</v>
      </c>
      <c r="C82" s="8" t="s">
        <v>61</v>
      </c>
      <c r="D82" s="22" t="s">
        <v>91</v>
      </c>
      <c r="E82" s="137">
        <v>400000</v>
      </c>
      <c r="F82" s="20">
        <v>0</v>
      </c>
      <c r="G82" s="20">
        <v>0</v>
      </c>
      <c r="H82" s="20">
        <v>0</v>
      </c>
      <c r="I82" s="20">
        <v>0</v>
      </c>
    </row>
    <row r="83" spans="1:9">
      <c r="A83" s="20" t="s">
        <v>31</v>
      </c>
      <c r="B83" s="7" t="s">
        <v>32</v>
      </c>
      <c r="C83" s="7" t="s">
        <v>46</v>
      </c>
      <c r="D83" s="26" t="s">
        <v>92</v>
      </c>
      <c r="E83" s="20">
        <f>SUM(E84:E86)</f>
        <v>1017005.19</v>
      </c>
      <c r="F83" s="20">
        <f>SUM(F84:F86)</f>
        <v>1869170.82</v>
      </c>
      <c r="G83" s="20">
        <f t="shared" ref="G83:I83" si="18">SUM(G84:G86)</f>
        <v>1846223.6099999999</v>
      </c>
      <c r="H83" s="20">
        <f t="shared" si="18"/>
        <v>2142374.31</v>
      </c>
      <c r="I83" s="20">
        <f t="shared" si="18"/>
        <v>2495176.02</v>
      </c>
    </row>
    <row r="84" spans="1:9">
      <c r="A84" s="19" t="s">
        <v>31</v>
      </c>
      <c r="B84" s="8" t="s">
        <v>32</v>
      </c>
      <c r="C84" s="8" t="s">
        <v>61</v>
      </c>
      <c r="D84" s="22" t="s">
        <v>93</v>
      </c>
      <c r="E84" s="51">
        <v>21430.47</v>
      </c>
      <c r="F84" s="20">
        <v>1858455.81</v>
      </c>
      <c r="G84" s="20">
        <v>446223.61</v>
      </c>
      <c r="H84" s="20">
        <v>442374.31</v>
      </c>
      <c r="I84" s="20">
        <v>395176.02</v>
      </c>
    </row>
    <row r="85" spans="1:9">
      <c r="A85" s="19" t="s">
        <v>31</v>
      </c>
      <c r="B85" s="8" t="s">
        <v>32</v>
      </c>
      <c r="C85" s="8" t="s">
        <v>61</v>
      </c>
      <c r="D85" s="22" t="s">
        <v>94</v>
      </c>
      <c r="E85" s="51">
        <v>995574.72</v>
      </c>
      <c r="F85" s="20">
        <v>10715.01</v>
      </c>
      <c r="G85" s="20">
        <v>1400000</v>
      </c>
      <c r="H85" s="20">
        <v>1700000</v>
      </c>
      <c r="I85" s="20">
        <v>2100000</v>
      </c>
    </row>
    <row r="86" spans="1:9">
      <c r="A86" s="19" t="s">
        <v>31</v>
      </c>
      <c r="B86" s="8" t="s">
        <v>32</v>
      </c>
      <c r="C86" s="8" t="s">
        <v>61</v>
      </c>
      <c r="D86" s="22" t="s">
        <v>95</v>
      </c>
      <c r="E86" s="51">
        <v>0</v>
      </c>
      <c r="F86" s="20">
        <v>0</v>
      </c>
      <c r="G86" s="20">
        <v>0</v>
      </c>
      <c r="H86" s="20">
        <v>0</v>
      </c>
      <c r="I86" s="20">
        <v>0</v>
      </c>
    </row>
    <row r="87" spans="1:9">
      <c r="A87" s="19" t="s">
        <v>31</v>
      </c>
      <c r="B87" s="8" t="s">
        <v>32</v>
      </c>
      <c r="C87" s="8">
        <v>2</v>
      </c>
      <c r="D87" s="22" t="s">
        <v>96</v>
      </c>
      <c r="E87" s="51">
        <v>0</v>
      </c>
      <c r="F87" s="20">
        <v>0</v>
      </c>
      <c r="G87" s="20">
        <v>0</v>
      </c>
      <c r="H87" s="20">
        <v>0</v>
      </c>
      <c r="I87" s="20">
        <v>0</v>
      </c>
    </row>
    <row r="88" spans="1:9">
      <c r="A88" s="19" t="s">
        <v>31</v>
      </c>
      <c r="B88" s="8" t="s">
        <v>32</v>
      </c>
      <c r="C88" s="16" t="s">
        <v>21</v>
      </c>
      <c r="D88" s="25" t="s">
        <v>97</v>
      </c>
      <c r="E88" s="78">
        <v>72970.52</v>
      </c>
      <c r="F88" s="18">
        <v>81877.48</v>
      </c>
      <c r="G88" s="18">
        <v>80000</v>
      </c>
      <c r="H88" s="18">
        <v>75000</v>
      </c>
      <c r="I88" s="18">
        <v>75000</v>
      </c>
    </row>
    <row r="89" spans="1:9">
      <c r="A89" s="19" t="s">
        <v>31</v>
      </c>
      <c r="B89" s="8" t="s">
        <v>32</v>
      </c>
      <c r="C89" s="16" t="s">
        <v>159</v>
      </c>
      <c r="D89" s="25" t="s">
        <v>198</v>
      </c>
      <c r="E89" s="78">
        <v>0</v>
      </c>
      <c r="F89" s="20">
        <v>0</v>
      </c>
      <c r="G89" s="20">
        <v>0</v>
      </c>
      <c r="H89" s="20">
        <v>0</v>
      </c>
      <c r="I89" s="20">
        <v>0</v>
      </c>
    </row>
    <row r="90" spans="1:9">
      <c r="A90" s="19" t="s">
        <v>31</v>
      </c>
      <c r="B90" s="8" t="s">
        <v>32</v>
      </c>
      <c r="C90" s="16" t="s">
        <v>161</v>
      </c>
      <c r="D90" s="25" t="s">
        <v>199</v>
      </c>
      <c r="E90" s="78">
        <v>0</v>
      </c>
      <c r="F90" s="20">
        <v>0</v>
      </c>
      <c r="G90" s="20">
        <v>0</v>
      </c>
      <c r="H90" s="20">
        <v>0</v>
      </c>
      <c r="I90" s="20">
        <v>0</v>
      </c>
    </row>
    <row r="91" spans="1:9">
      <c r="A91" s="27" t="s">
        <v>31</v>
      </c>
      <c r="B91" s="8" t="s">
        <v>32</v>
      </c>
      <c r="C91" s="28"/>
      <c r="D91" s="29" t="s">
        <v>98</v>
      </c>
      <c r="E91" s="30">
        <f>+E4+E46+E89+E90</f>
        <v>9375024.160000002</v>
      </c>
      <c r="F91" s="30">
        <f>+F4+F46+F89+F90</f>
        <v>9717215.459999999</v>
      </c>
      <c r="G91" s="30">
        <f>+G4+G46+G89+G90</f>
        <v>9598845.4800000004</v>
      </c>
      <c r="H91" s="30">
        <f>+H4+H46+H89+H90</f>
        <v>9509169.6099999994</v>
      </c>
      <c r="I91" s="30">
        <f>+I4+I46+I89+I90</f>
        <v>9489918.4299999997</v>
      </c>
    </row>
    <row r="92" spans="1:9">
      <c r="A92" s="15" t="s">
        <v>31</v>
      </c>
      <c r="B92" s="8" t="s">
        <v>99</v>
      </c>
      <c r="C92" s="16" t="s">
        <v>33</v>
      </c>
      <c r="D92" s="17" t="s">
        <v>100</v>
      </c>
      <c r="E92" s="18">
        <f>+E93+E94+E96+E98+E101+E102+E103</f>
        <v>4990343.3899999997</v>
      </c>
      <c r="F92" s="18">
        <f>+F93+F94+F96+F98+F101+F102+F103</f>
        <v>5353522.8900000006</v>
      </c>
      <c r="G92" s="18">
        <f t="shared" ref="G92:I92" si="19">+G93+G94+G96+G98+G101+G102+G103</f>
        <v>5411554.0000000009</v>
      </c>
      <c r="H92" s="18">
        <f t="shared" si="19"/>
        <v>5440858.9400000004</v>
      </c>
      <c r="I92" s="18">
        <f t="shared" si="19"/>
        <v>5542044.3800000008</v>
      </c>
    </row>
    <row r="93" spans="1:9">
      <c r="A93" s="15" t="s">
        <v>31</v>
      </c>
      <c r="B93" s="16" t="s">
        <v>99</v>
      </c>
      <c r="C93" s="16" t="s">
        <v>5</v>
      </c>
      <c r="D93" s="25" t="s">
        <v>101</v>
      </c>
      <c r="E93" s="78">
        <v>3958723.74</v>
      </c>
      <c r="F93" s="18">
        <v>3958723.74</v>
      </c>
      <c r="G93" s="18">
        <v>3958723.74</v>
      </c>
      <c r="H93" s="18">
        <v>3958723.74</v>
      </c>
      <c r="I93" s="18">
        <v>3958723.74</v>
      </c>
    </row>
    <row r="94" spans="1:9">
      <c r="A94" s="15" t="s">
        <v>31</v>
      </c>
      <c r="B94" s="16" t="s">
        <v>99</v>
      </c>
      <c r="C94" s="16" t="s">
        <v>11</v>
      </c>
      <c r="D94" s="25" t="s">
        <v>102</v>
      </c>
      <c r="E94" s="78">
        <v>777770.52</v>
      </c>
      <c r="F94" s="18">
        <v>1031619.65</v>
      </c>
      <c r="G94" s="18">
        <v>1394799.15</v>
      </c>
      <c r="H94" s="18">
        <v>1448555.15</v>
      </c>
      <c r="I94" s="18">
        <v>1502835.2</v>
      </c>
    </row>
    <row r="95" spans="1:9" ht="22.5">
      <c r="A95" s="15"/>
      <c r="B95" s="8" t="s">
        <v>99</v>
      </c>
      <c r="C95" s="16" t="s">
        <v>61</v>
      </c>
      <c r="D95" s="22" t="s">
        <v>200</v>
      </c>
      <c r="E95" s="51">
        <v>0</v>
      </c>
      <c r="F95" s="20">
        <v>0</v>
      </c>
      <c r="G95" s="20">
        <v>0</v>
      </c>
      <c r="H95" s="18">
        <v>0</v>
      </c>
      <c r="I95" s="18">
        <v>0</v>
      </c>
    </row>
    <row r="96" spans="1:9">
      <c r="A96" s="15" t="s">
        <v>31</v>
      </c>
      <c r="B96" s="16" t="s">
        <v>99</v>
      </c>
      <c r="C96" s="16" t="s">
        <v>16</v>
      </c>
      <c r="D96" s="25" t="s">
        <v>103</v>
      </c>
      <c r="E96" s="51">
        <v>0</v>
      </c>
      <c r="F96" s="18">
        <v>0</v>
      </c>
      <c r="G96" s="18">
        <v>0</v>
      </c>
      <c r="H96" s="18">
        <v>0</v>
      </c>
      <c r="I96" s="18">
        <v>0</v>
      </c>
    </row>
    <row r="97" spans="1:9">
      <c r="A97" s="15"/>
      <c r="B97" s="8" t="s">
        <v>99</v>
      </c>
      <c r="C97" s="8" t="s">
        <v>61</v>
      </c>
      <c r="D97" s="22" t="s">
        <v>201</v>
      </c>
      <c r="E97" s="51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>
      <c r="A98" s="15" t="s">
        <v>31</v>
      </c>
      <c r="B98" s="16" t="s">
        <v>99</v>
      </c>
      <c r="C98" s="16" t="s">
        <v>21</v>
      </c>
      <c r="D98" s="25" t="s">
        <v>105</v>
      </c>
      <c r="E98" s="51">
        <v>0</v>
      </c>
      <c r="F98" s="18">
        <v>0</v>
      </c>
      <c r="G98" s="18">
        <v>0</v>
      </c>
      <c r="H98" s="18">
        <v>0</v>
      </c>
      <c r="I98" s="18">
        <v>0</v>
      </c>
    </row>
    <row r="99" spans="1:9">
      <c r="A99" s="15"/>
      <c r="B99" s="8" t="s">
        <v>99</v>
      </c>
      <c r="C99" s="8" t="s">
        <v>61</v>
      </c>
      <c r="D99" s="22" t="s">
        <v>202</v>
      </c>
      <c r="E99" s="51">
        <v>0</v>
      </c>
      <c r="F99" s="18">
        <v>0</v>
      </c>
      <c r="G99" s="18">
        <v>0</v>
      </c>
      <c r="H99" s="18">
        <v>0</v>
      </c>
      <c r="I99" s="18">
        <v>0</v>
      </c>
    </row>
    <row r="100" spans="1:9">
      <c r="A100" s="15"/>
      <c r="B100" s="8" t="s">
        <v>99</v>
      </c>
      <c r="C100" s="8" t="s">
        <v>61</v>
      </c>
      <c r="D100" s="22" t="s">
        <v>203</v>
      </c>
      <c r="E100" s="51">
        <v>0</v>
      </c>
      <c r="F100" s="18">
        <v>0</v>
      </c>
      <c r="G100" s="18">
        <v>0</v>
      </c>
      <c r="H100" s="18">
        <v>0</v>
      </c>
      <c r="I100" s="18">
        <v>0</v>
      </c>
    </row>
    <row r="101" spans="1:9">
      <c r="A101" s="15" t="s">
        <v>31</v>
      </c>
      <c r="B101" s="16" t="s">
        <v>99</v>
      </c>
      <c r="C101" s="16" t="s">
        <v>67</v>
      </c>
      <c r="D101" s="25" t="s">
        <v>107</v>
      </c>
      <c r="E101" s="78">
        <v>0</v>
      </c>
      <c r="F101" s="18">
        <v>0</v>
      </c>
      <c r="G101" s="18">
        <v>0</v>
      </c>
      <c r="H101" s="18">
        <v>0</v>
      </c>
      <c r="I101" s="18">
        <v>0</v>
      </c>
    </row>
    <row r="102" spans="1:9">
      <c r="A102" s="15" t="s">
        <v>31</v>
      </c>
      <c r="B102" s="16" t="s">
        <v>99</v>
      </c>
      <c r="C102" s="16" t="s">
        <v>104</v>
      </c>
      <c r="D102" s="25" t="s">
        <v>109</v>
      </c>
      <c r="E102" s="78">
        <v>253849.13</v>
      </c>
      <c r="F102" s="18">
        <v>363179.5</v>
      </c>
      <c r="G102" s="18">
        <v>58031.11</v>
      </c>
      <c r="H102" s="18">
        <v>33580.050000000003</v>
      </c>
      <c r="I102" s="18">
        <v>80485.440000000002</v>
      </c>
    </row>
    <row r="103" spans="1:9" ht="22.5">
      <c r="A103" s="19" t="s">
        <v>31</v>
      </c>
      <c r="B103" s="8" t="s">
        <v>99</v>
      </c>
      <c r="C103" s="16" t="s">
        <v>106</v>
      </c>
      <c r="D103" s="25" t="s">
        <v>110</v>
      </c>
      <c r="E103" s="51">
        <v>0</v>
      </c>
      <c r="F103" s="20">
        <v>0</v>
      </c>
      <c r="G103" s="20">
        <v>0</v>
      </c>
      <c r="H103" s="20">
        <v>0</v>
      </c>
      <c r="I103" s="20">
        <v>0</v>
      </c>
    </row>
    <row r="104" spans="1:9">
      <c r="A104" s="31" t="s">
        <v>31</v>
      </c>
      <c r="B104" s="32" t="s">
        <v>99</v>
      </c>
      <c r="C104" s="32" t="s">
        <v>71</v>
      </c>
      <c r="D104" s="33" t="s">
        <v>111</v>
      </c>
      <c r="E104" s="31">
        <f>+E105+E113+E122+E147</f>
        <v>4384680.7700000005</v>
      </c>
      <c r="F104" s="31">
        <f>+F105+F113+F122+F147</f>
        <v>4363692.57</v>
      </c>
      <c r="G104" s="31">
        <f t="shared" ref="G104:I104" si="20">+G105+G113+G122+G147</f>
        <v>4187291.48</v>
      </c>
      <c r="H104" s="31">
        <f t="shared" si="20"/>
        <v>4068310.67</v>
      </c>
      <c r="I104" s="31">
        <f t="shared" si="20"/>
        <v>3947874.0500000003</v>
      </c>
    </row>
    <row r="105" spans="1:9" s="127" customFormat="1">
      <c r="A105" s="31" t="s">
        <v>31</v>
      </c>
      <c r="B105" s="32" t="s">
        <v>99</v>
      </c>
      <c r="C105" s="32" t="s">
        <v>5</v>
      </c>
      <c r="D105" s="33" t="s">
        <v>112</v>
      </c>
      <c r="E105" s="31">
        <f>+E106+E107+E110</f>
        <v>207905.61</v>
      </c>
      <c r="F105" s="31">
        <f>+F106+F107+F110</f>
        <v>261776.8</v>
      </c>
      <c r="G105" s="31">
        <f t="shared" ref="G105:I105" si="21">+G106+G107+G110</f>
        <v>244804</v>
      </c>
      <c r="H105" s="31">
        <f t="shared" si="21"/>
        <v>244804</v>
      </c>
      <c r="I105" s="31">
        <f t="shared" si="21"/>
        <v>244804</v>
      </c>
    </row>
    <row r="106" spans="1:9">
      <c r="A106" s="19" t="s">
        <v>31</v>
      </c>
      <c r="B106" s="8" t="s">
        <v>99</v>
      </c>
      <c r="C106" s="8">
        <v>1</v>
      </c>
      <c r="D106" s="22" t="s">
        <v>113</v>
      </c>
      <c r="E106" s="51">
        <v>0</v>
      </c>
      <c r="F106" s="20">
        <v>0</v>
      </c>
      <c r="G106" s="20">
        <v>0</v>
      </c>
      <c r="H106" s="20">
        <v>0</v>
      </c>
      <c r="I106" s="20">
        <v>0</v>
      </c>
    </row>
    <row r="107" spans="1:9">
      <c r="A107" s="19" t="s">
        <v>31</v>
      </c>
      <c r="B107" s="8" t="s">
        <v>99</v>
      </c>
      <c r="C107" s="8">
        <v>2</v>
      </c>
      <c r="D107" s="24" t="s">
        <v>114</v>
      </c>
      <c r="E107" s="20">
        <f>+E109+E108</f>
        <v>198171</v>
      </c>
      <c r="F107" s="20">
        <f>+F109+F108</f>
        <v>239804</v>
      </c>
      <c r="G107" s="20">
        <f t="shared" ref="G107:I107" si="22">+G109+G108</f>
        <v>239804</v>
      </c>
      <c r="H107" s="20">
        <f t="shared" si="22"/>
        <v>239804</v>
      </c>
      <c r="I107" s="20">
        <f t="shared" si="22"/>
        <v>239804</v>
      </c>
    </row>
    <row r="108" spans="1:9">
      <c r="A108" s="19" t="s">
        <v>31</v>
      </c>
      <c r="B108" s="8" t="s">
        <v>99</v>
      </c>
      <c r="C108" s="8" t="s">
        <v>61</v>
      </c>
      <c r="D108" s="22" t="s">
        <v>115</v>
      </c>
      <c r="E108" s="137">
        <v>133698</v>
      </c>
      <c r="F108" s="20">
        <v>170888</v>
      </c>
      <c r="G108" s="20">
        <v>170888</v>
      </c>
      <c r="H108" s="20">
        <v>170888</v>
      </c>
      <c r="I108" s="20">
        <v>170888</v>
      </c>
    </row>
    <row r="109" spans="1:9">
      <c r="A109" s="19" t="s">
        <v>31</v>
      </c>
      <c r="B109" s="8" t="s">
        <v>99</v>
      </c>
      <c r="C109" s="8" t="s">
        <v>61</v>
      </c>
      <c r="D109" s="22" t="s">
        <v>116</v>
      </c>
      <c r="E109" s="137">
        <v>64473</v>
      </c>
      <c r="F109" s="20">
        <v>68916</v>
      </c>
      <c r="G109" s="20">
        <v>68916</v>
      </c>
      <c r="H109" s="20">
        <v>68916</v>
      </c>
      <c r="I109" s="20">
        <v>68916</v>
      </c>
    </row>
    <row r="110" spans="1:9">
      <c r="A110" s="19" t="s">
        <v>31</v>
      </c>
      <c r="B110" s="8" t="s">
        <v>99</v>
      </c>
      <c r="C110" s="8">
        <v>3</v>
      </c>
      <c r="D110" s="24" t="s">
        <v>117</v>
      </c>
      <c r="E110" s="20">
        <f>+E111+E112</f>
        <v>9734.61</v>
      </c>
      <c r="F110" s="20">
        <f>+F111+F112</f>
        <v>21972.799999999999</v>
      </c>
      <c r="G110" s="20">
        <f t="shared" ref="G110:I110" si="23">+G111+G112</f>
        <v>5000</v>
      </c>
      <c r="H110" s="20">
        <f t="shared" si="23"/>
        <v>5000</v>
      </c>
      <c r="I110" s="20">
        <f t="shared" si="23"/>
        <v>5000</v>
      </c>
    </row>
    <row r="111" spans="1:9">
      <c r="A111" s="19" t="s">
        <v>31</v>
      </c>
      <c r="B111" s="8" t="s">
        <v>99</v>
      </c>
      <c r="C111" s="8" t="s">
        <v>61</v>
      </c>
      <c r="D111" s="22" t="s">
        <v>118</v>
      </c>
      <c r="E111" s="51">
        <v>0</v>
      </c>
      <c r="F111" s="20">
        <v>0</v>
      </c>
      <c r="G111" s="20">
        <v>0</v>
      </c>
      <c r="H111" s="20">
        <v>0</v>
      </c>
      <c r="I111" s="20">
        <v>0</v>
      </c>
    </row>
    <row r="112" spans="1:9">
      <c r="A112" s="19" t="s">
        <v>31</v>
      </c>
      <c r="B112" s="8" t="s">
        <v>99</v>
      </c>
      <c r="C112" s="8" t="s">
        <v>61</v>
      </c>
      <c r="D112" s="22" t="s">
        <v>119</v>
      </c>
      <c r="E112" s="51">
        <v>9734.61</v>
      </c>
      <c r="F112" s="20">
        <v>21972.799999999999</v>
      </c>
      <c r="G112" s="20">
        <v>5000</v>
      </c>
      <c r="H112" s="20">
        <v>5000</v>
      </c>
      <c r="I112" s="20">
        <v>5000</v>
      </c>
    </row>
    <row r="113" spans="1:9" s="127" customFormat="1">
      <c r="A113" s="128" t="s">
        <v>31</v>
      </c>
      <c r="B113" s="129" t="s">
        <v>99</v>
      </c>
      <c r="C113" s="129" t="s">
        <v>11</v>
      </c>
      <c r="D113" s="130" t="s">
        <v>120</v>
      </c>
      <c r="E113" s="31">
        <f>+E114+E115+E116</f>
        <v>10113.530000000001</v>
      </c>
      <c r="F113" s="31">
        <f>+F114+F115+F116</f>
        <v>4255.71</v>
      </c>
      <c r="G113" s="31">
        <f t="shared" ref="G113:I113" si="24">+G114+G115+G116</f>
        <v>4255.71</v>
      </c>
      <c r="H113" s="31">
        <f t="shared" si="24"/>
        <v>4255.71</v>
      </c>
      <c r="I113" s="31">
        <f t="shared" si="24"/>
        <v>0</v>
      </c>
    </row>
    <row r="114" spans="1:9">
      <c r="A114" s="19" t="s">
        <v>31</v>
      </c>
      <c r="B114" s="8" t="s">
        <v>99</v>
      </c>
      <c r="C114" s="8">
        <v>1</v>
      </c>
      <c r="D114" s="22" t="s">
        <v>121</v>
      </c>
      <c r="E114" s="51">
        <v>0</v>
      </c>
      <c r="F114" s="20">
        <v>0</v>
      </c>
      <c r="G114" s="20">
        <v>0</v>
      </c>
      <c r="H114" s="20">
        <v>0</v>
      </c>
      <c r="I114" s="20">
        <v>0</v>
      </c>
    </row>
    <row r="115" spans="1:9" ht="22.5">
      <c r="A115" s="19" t="s">
        <v>31</v>
      </c>
      <c r="B115" s="8" t="s">
        <v>99</v>
      </c>
      <c r="C115" s="8">
        <v>2</v>
      </c>
      <c r="D115" s="22" t="s">
        <v>211</v>
      </c>
      <c r="E115" s="51">
        <v>0</v>
      </c>
      <c r="F115" s="20">
        <v>0</v>
      </c>
      <c r="G115" s="20">
        <v>0</v>
      </c>
      <c r="H115" s="20">
        <v>0</v>
      </c>
      <c r="I115" s="20">
        <v>0</v>
      </c>
    </row>
    <row r="116" spans="1:9">
      <c r="A116" s="19" t="s">
        <v>31</v>
      </c>
      <c r="B116" s="8" t="s">
        <v>99</v>
      </c>
      <c r="C116" s="8">
        <v>3</v>
      </c>
      <c r="D116" s="51" t="s">
        <v>122</v>
      </c>
      <c r="E116" s="20">
        <f>SUM(E117:E121)</f>
        <v>10113.530000000001</v>
      </c>
      <c r="F116" s="20">
        <f>SUM(F117:F121)</f>
        <v>4255.71</v>
      </c>
      <c r="G116" s="20">
        <f t="shared" ref="G116:I116" si="25">SUM(G117:G121)</f>
        <v>4255.71</v>
      </c>
      <c r="H116" s="20">
        <f t="shared" si="25"/>
        <v>4255.71</v>
      </c>
      <c r="I116" s="20">
        <f t="shared" si="25"/>
        <v>0</v>
      </c>
    </row>
    <row r="117" spans="1:9">
      <c r="A117" s="19" t="s">
        <v>31</v>
      </c>
      <c r="B117" s="8" t="s">
        <v>99</v>
      </c>
      <c r="C117" s="8" t="s">
        <v>42</v>
      </c>
      <c r="D117" s="22" t="s">
        <v>123</v>
      </c>
      <c r="E117" s="51">
        <v>0</v>
      </c>
      <c r="F117" s="20">
        <v>0</v>
      </c>
      <c r="G117" s="20">
        <v>0</v>
      </c>
      <c r="H117" s="20">
        <v>0</v>
      </c>
      <c r="I117" s="20">
        <v>0</v>
      </c>
    </row>
    <row r="118" spans="1:9">
      <c r="A118" s="19" t="s">
        <v>31</v>
      </c>
      <c r="B118" s="8" t="s">
        <v>99</v>
      </c>
      <c r="C118" s="8" t="s">
        <v>44</v>
      </c>
      <c r="D118" s="22" t="s">
        <v>124</v>
      </c>
      <c r="E118" s="51">
        <v>0</v>
      </c>
      <c r="F118" s="20">
        <v>0</v>
      </c>
      <c r="G118" s="20">
        <v>0</v>
      </c>
      <c r="H118" s="20">
        <v>0</v>
      </c>
      <c r="I118" s="20">
        <v>0</v>
      </c>
    </row>
    <row r="119" spans="1:9">
      <c r="A119" s="19" t="s">
        <v>31</v>
      </c>
      <c r="B119" s="8" t="s">
        <v>99</v>
      </c>
      <c r="C119" s="8" t="s">
        <v>46</v>
      </c>
      <c r="D119" s="22" t="s">
        <v>125</v>
      </c>
      <c r="E119" s="51">
        <v>0</v>
      </c>
      <c r="F119" s="20">
        <v>0</v>
      </c>
      <c r="G119" s="20">
        <v>0</v>
      </c>
      <c r="H119" s="20">
        <v>0</v>
      </c>
      <c r="I119" s="20">
        <v>0</v>
      </c>
    </row>
    <row r="120" spans="1:9">
      <c r="A120" s="19" t="s">
        <v>31</v>
      </c>
      <c r="B120" s="8" t="s">
        <v>99</v>
      </c>
      <c r="C120" s="8" t="s">
        <v>48</v>
      </c>
      <c r="D120" s="22" t="s">
        <v>131</v>
      </c>
      <c r="E120" s="51">
        <v>0</v>
      </c>
      <c r="F120" s="20">
        <v>0</v>
      </c>
      <c r="G120" s="20">
        <v>0</v>
      </c>
      <c r="H120" s="20">
        <v>0</v>
      </c>
      <c r="I120" s="20">
        <v>0</v>
      </c>
    </row>
    <row r="121" spans="1:9">
      <c r="A121" s="19" t="s">
        <v>31</v>
      </c>
      <c r="B121" s="8" t="s">
        <v>99</v>
      </c>
      <c r="C121" s="8" t="s">
        <v>50</v>
      </c>
      <c r="D121" s="22" t="s">
        <v>84</v>
      </c>
      <c r="E121" s="51">
        <v>10113.530000000001</v>
      </c>
      <c r="F121" s="20">
        <v>4255.71</v>
      </c>
      <c r="G121" s="20">
        <v>4255.71</v>
      </c>
      <c r="H121" s="20">
        <v>4255.71</v>
      </c>
      <c r="I121" s="20">
        <v>0</v>
      </c>
    </row>
    <row r="122" spans="1:9">
      <c r="A122" s="34" t="s">
        <v>31</v>
      </c>
      <c r="B122" s="35" t="s">
        <v>99</v>
      </c>
      <c r="C122" s="35" t="s">
        <v>16</v>
      </c>
      <c r="D122" s="36" t="s">
        <v>126</v>
      </c>
      <c r="E122" s="34">
        <f>+E123+E128+E133+E145</f>
        <v>614465.1</v>
      </c>
      <c r="F122" s="34">
        <f t="shared" ref="F122:I122" si="26">+F123+F128+F133+F145</f>
        <v>653286.34</v>
      </c>
      <c r="G122" s="34">
        <f t="shared" si="26"/>
        <v>617849.29</v>
      </c>
      <c r="H122" s="34">
        <f t="shared" si="26"/>
        <v>614774.29</v>
      </c>
      <c r="I122" s="34">
        <f t="shared" si="26"/>
        <v>614500</v>
      </c>
    </row>
    <row r="123" spans="1:9">
      <c r="A123" s="19" t="s">
        <v>31</v>
      </c>
      <c r="B123" s="8" t="s">
        <v>99</v>
      </c>
      <c r="C123" s="8">
        <v>1</v>
      </c>
      <c r="D123" s="24" t="s">
        <v>121</v>
      </c>
      <c r="E123" s="20">
        <f>+E124+E127</f>
        <v>0</v>
      </c>
      <c r="F123" s="20">
        <f>+F124+F127</f>
        <v>0</v>
      </c>
      <c r="G123" s="20">
        <f t="shared" ref="G123:I123" si="27">+G124+G127</f>
        <v>0</v>
      </c>
      <c r="H123" s="20">
        <f t="shared" si="27"/>
        <v>0</v>
      </c>
      <c r="I123" s="20">
        <f t="shared" si="27"/>
        <v>0</v>
      </c>
    </row>
    <row r="124" spans="1:9">
      <c r="A124" s="19" t="s">
        <v>31</v>
      </c>
      <c r="B124" s="8" t="s">
        <v>99</v>
      </c>
      <c r="C124" s="8" t="s">
        <v>42</v>
      </c>
      <c r="D124" s="24" t="s">
        <v>127</v>
      </c>
      <c r="E124" s="20">
        <f>+E125+E126</f>
        <v>0</v>
      </c>
      <c r="F124" s="20">
        <f>+F125+F126</f>
        <v>0</v>
      </c>
      <c r="G124" s="20">
        <f t="shared" ref="G124:I124" si="28">+G125+G126</f>
        <v>0</v>
      </c>
      <c r="H124" s="20">
        <f t="shared" si="28"/>
        <v>0</v>
      </c>
      <c r="I124" s="20">
        <f t="shared" si="28"/>
        <v>0</v>
      </c>
    </row>
    <row r="125" spans="1:9">
      <c r="A125" s="19" t="s">
        <v>31</v>
      </c>
      <c r="B125" s="8" t="s">
        <v>99</v>
      </c>
      <c r="C125" s="8" t="s">
        <v>61</v>
      </c>
      <c r="D125" s="22" t="s">
        <v>82</v>
      </c>
      <c r="E125" s="51">
        <v>0</v>
      </c>
      <c r="F125" s="20">
        <v>0</v>
      </c>
      <c r="G125" s="20">
        <v>0</v>
      </c>
      <c r="H125" s="20">
        <v>0</v>
      </c>
      <c r="I125" s="20">
        <v>0</v>
      </c>
    </row>
    <row r="126" spans="1:9">
      <c r="A126" s="19" t="s">
        <v>31</v>
      </c>
      <c r="B126" s="8" t="s">
        <v>99</v>
      </c>
      <c r="C126" s="8" t="s">
        <v>61</v>
      </c>
      <c r="D126" s="22" t="s">
        <v>83</v>
      </c>
      <c r="E126" s="51">
        <v>0</v>
      </c>
      <c r="F126" s="20">
        <v>0</v>
      </c>
      <c r="G126" s="20">
        <v>0</v>
      </c>
      <c r="H126" s="20">
        <v>0</v>
      </c>
      <c r="I126" s="20">
        <v>0</v>
      </c>
    </row>
    <row r="127" spans="1:9">
      <c r="A127" s="19" t="s">
        <v>31</v>
      </c>
      <c r="B127" s="8" t="s">
        <v>99</v>
      </c>
      <c r="C127" s="8" t="s">
        <v>44</v>
      </c>
      <c r="D127" s="22" t="s">
        <v>84</v>
      </c>
      <c r="E127" s="51">
        <v>0</v>
      </c>
      <c r="F127" s="20">
        <v>0</v>
      </c>
      <c r="G127" s="20">
        <v>0</v>
      </c>
      <c r="H127" s="20">
        <v>0</v>
      </c>
      <c r="I127" s="20">
        <v>0</v>
      </c>
    </row>
    <row r="128" spans="1:9" ht="22.5">
      <c r="A128" s="19" t="s">
        <v>31</v>
      </c>
      <c r="B128" s="8" t="s">
        <v>99</v>
      </c>
      <c r="C128" s="8">
        <v>2</v>
      </c>
      <c r="D128" s="136" t="s">
        <v>211</v>
      </c>
      <c r="E128" s="137">
        <f>+E129+E132</f>
        <v>0</v>
      </c>
      <c r="F128" s="137">
        <f t="shared" ref="F128:I128" si="29">+F129+F132</f>
        <v>0</v>
      </c>
      <c r="G128" s="137">
        <f t="shared" si="29"/>
        <v>0</v>
      </c>
      <c r="H128" s="137">
        <f t="shared" si="29"/>
        <v>0</v>
      </c>
      <c r="I128" s="137">
        <f t="shared" si="29"/>
        <v>0</v>
      </c>
    </row>
    <row r="129" spans="1:9">
      <c r="A129" s="19" t="s">
        <v>31</v>
      </c>
      <c r="B129" s="8" t="s">
        <v>99</v>
      </c>
      <c r="C129" s="8" t="s">
        <v>42</v>
      </c>
      <c r="D129" s="24" t="s">
        <v>127</v>
      </c>
      <c r="E129" s="137">
        <f>+E130+E131</f>
        <v>0</v>
      </c>
      <c r="F129" s="137">
        <f t="shared" ref="F129:I129" si="30">+F130+F131</f>
        <v>0</v>
      </c>
      <c r="G129" s="137">
        <f t="shared" si="30"/>
        <v>0</v>
      </c>
      <c r="H129" s="137">
        <f t="shared" si="30"/>
        <v>0</v>
      </c>
      <c r="I129" s="137">
        <f t="shared" si="30"/>
        <v>0</v>
      </c>
    </row>
    <row r="130" spans="1:9">
      <c r="A130" s="19" t="s">
        <v>31</v>
      </c>
      <c r="B130" s="8" t="s">
        <v>99</v>
      </c>
      <c r="D130" s="22" t="s">
        <v>82</v>
      </c>
      <c r="E130" s="51">
        <v>0</v>
      </c>
      <c r="F130" s="20">
        <v>0</v>
      </c>
      <c r="G130" s="20">
        <v>0</v>
      </c>
      <c r="H130" s="20">
        <v>0</v>
      </c>
      <c r="I130" s="20">
        <v>0</v>
      </c>
    </row>
    <row r="131" spans="1:9">
      <c r="B131" s="8"/>
      <c r="D131" s="22" t="s">
        <v>83</v>
      </c>
      <c r="E131" s="51">
        <v>0</v>
      </c>
      <c r="F131" s="20">
        <v>0</v>
      </c>
      <c r="G131" s="20">
        <v>0</v>
      </c>
      <c r="H131" s="20">
        <v>0</v>
      </c>
      <c r="I131" s="20">
        <v>0</v>
      </c>
    </row>
    <row r="132" spans="1:9">
      <c r="A132" s="19" t="s">
        <v>31</v>
      </c>
      <c r="B132" s="8" t="s">
        <v>99</v>
      </c>
      <c r="C132" s="8" t="s">
        <v>44</v>
      </c>
      <c r="D132" s="22" t="s">
        <v>84</v>
      </c>
      <c r="E132" s="51">
        <v>0</v>
      </c>
      <c r="F132" s="20">
        <v>0</v>
      </c>
      <c r="G132" s="20">
        <v>0</v>
      </c>
      <c r="H132" s="20">
        <v>0</v>
      </c>
      <c r="I132" s="20">
        <v>0</v>
      </c>
    </row>
    <row r="133" spans="1:9">
      <c r="A133" s="19" t="s">
        <v>31</v>
      </c>
      <c r="B133" s="8" t="s">
        <v>99</v>
      </c>
      <c r="C133" s="8">
        <v>3</v>
      </c>
      <c r="D133" s="24" t="s">
        <v>128</v>
      </c>
      <c r="E133" s="20">
        <f>SUM(E134:E137)+E140+E141+E142+E143+E144</f>
        <v>555961.68999999994</v>
      </c>
      <c r="F133" s="20">
        <f>SUM(F134:F137)+F140+F141+F142+F143+F144</f>
        <v>590525.13</v>
      </c>
      <c r="G133" s="20">
        <f t="shared" ref="G133:I133" si="31">SUM(G134:G137)+G140+G141+G142+G143+G144</f>
        <v>554849.29</v>
      </c>
      <c r="H133" s="20">
        <f t="shared" si="31"/>
        <v>551774.29</v>
      </c>
      <c r="I133" s="20">
        <f t="shared" si="31"/>
        <v>551500</v>
      </c>
    </row>
    <row r="134" spans="1:9">
      <c r="A134" s="19" t="s">
        <v>31</v>
      </c>
      <c r="B134" s="8" t="s">
        <v>99</v>
      </c>
      <c r="C134" s="8" t="s">
        <v>42</v>
      </c>
      <c r="D134" s="22" t="s">
        <v>123</v>
      </c>
      <c r="E134" s="51">
        <v>0</v>
      </c>
      <c r="F134" s="20">
        <v>0</v>
      </c>
      <c r="G134" s="20">
        <v>0</v>
      </c>
      <c r="H134" s="20">
        <v>0</v>
      </c>
      <c r="I134" s="20">
        <v>0</v>
      </c>
    </row>
    <row r="135" spans="1:9">
      <c r="A135" s="19" t="s">
        <v>31</v>
      </c>
      <c r="B135" s="8" t="s">
        <v>99</v>
      </c>
      <c r="C135" s="8" t="s">
        <v>44</v>
      </c>
      <c r="D135" s="22" t="s">
        <v>124</v>
      </c>
      <c r="E135" s="51">
        <v>0</v>
      </c>
      <c r="F135" s="20">
        <v>0</v>
      </c>
      <c r="G135" s="20">
        <v>0</v>
      </c>
      <c r="H135" s="20">
        <v>0</v>
      </c>
      <c r="I135" s="20">
        <v>0</v>
      </c>
    </row>
    <row r="136" spans="1:9">
      <c r="A136" s="19" t="s">
        <v>31</v>
      </c>
      <c r="B136" s="8" t="s">
        <v>99</v>
      </c>
      <c r="C136" s="8" t="s">
        <v>46</v>
      </c>
      <c r="D136" s="22" t="s">
        <v>125</v>
      </c>
      <c r="E136" s="51">
        <v>0</v>
      </c>
      <c r="F136" s="20">
        <v>0</v>
      </c>
      <c r="G136" s="20">
        <v>0</v>
      </c>
      <c r="H136" s="20">
        <v>0</v>
      </c>
      <c r="I136" s="20">
        <v>0</v>
      </c>
    </row>
    <row r="137" spans="1:9">
      <c r="A137" s="19" t="s">
        <v>31</v>
      </c>
      <c r="B137" s="8" t="s">
        <v>99</v>
      </c>
      <c r="C137" s="8" t="s">
        <v>48</v>
      </c>
      <c r="D137" s="24" t="s">
        <v>127</v>
      </c>
      <c r="E137" s="20">
        <f>+E138+E139</f>
        <v>353239.92</v>
      </c>
      <c r="F137" s="20">
        <f>+F138+F139</f>
        <v>366479.61</v>
      </c>
      <c r="G137" s="20">
        <f t="shared" ref="G137:I137" si="32">+G138+G139</f>
        <v>353349.29</v>
      </c>
      <c r="H137" s="20">
        <f t="shared" si="32"/>
        <v>350274.29</v>
      </c>
      <c r="I137" s="20">
        <f t="shared" si="32"/>
        <v>350000</v>
      </c>
    </row>
    <row r="138" spans="1:9">
      <c r="A138" s="19" t="s">
        <v>31</v>
      </c>
      <c r="B138" s="8" t="s">
        <v>99</v>
      </c>
      <c r="C138" s="8" t="s">
        <v>61</v>
      </c>
      <c r="D138" s="22" t="s">
        <v>82</v>
      </c>
      <c r="E138" s="51">
        <v>352917.66</v>
      </c>
      <c r="F138" s="20">
        <v>362753.94</v>
      </c>
      <c r="G138" s="20">
        <v>350000</v>
      </c>
      <c r="H138" s="20">
        <v>350000</v>
      </c>
      <c r="I138" s="20">
        <v>350000</v>
      </c>
    </row>
    <row r="139" spans="1:9">
      <c r="A139" s="19" t="s">
        <v>31</v>
      </c>
      <c r="B139" s="8" t="s">
        <v>99</v>
      </c>
      <c r="C139" s="8" t="s">
        <v>61</v>
      </c>
      <c r="D139" s="22" t="s">
        <v>83</v>
      </c>
      <c r="E139" s="51">
        <v>322.26</v>
      </c>
      <c r="F139" s="20">
        <v>3725.67</v>
      </c>
      <c r="G139" s="20">
        <v>3349.29</v>
      </c>
      <c r="H139" s="20">
        <v>274.29000000000002</v>
      </c>
      <c r="I139" s="20">
        <v>0</v>
      </c>
    </row>
    <row r="140" spans="1:9">
      <c r="A140" s="19" t="s">
        <v>31</v>
      </c>
      <c r="B140" s="8" t="s">
        <v>99</v>
      </c>
      <c r="C140" s="8" t="s">
        <v>50</v>
      </c>
      <c r="D140" s="22" t="s">
        <v>129</v>
      </c>
      <c r="E140" s="51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>
      <c r="A141" s="19" t="s">
        <v>31</v>
      </c>
      <c r="B141" s="8" t="s">
        <v>99</v>
      </c>
      <c r="C141" s="8" t="s">
        <v>130</v>
      </c>
      <c r="D141" s="22" t="s">
        <v>131</v>
      </c>
      <c r="E141" s="51">
        <v>0</v>
      </c>
      <c r="F141" s="20">
        <v>0</v>
      </c>
      <c r="G141" s="20">
        <v>0</v>
      </c>
      <c r="H141" s="20">
        <v>0</v>
      </c>
      <c r="I141" s="20">
        <v>0</v>
      </c>
    </row>
    <row r="142" spans="1:9">
      <c r="A142" s="19" t="s">
        <v>31</v>
      </c>
      <c r="B142" s="8" t="s">
        <v>99</v>
      </c>
      <c r="C142" s="8" t="s">
        <v>132</v>
      </c>
      <c r="D142" s="22" t="s">
        <v>133</v>
      </c>
      <c r="E142" s="51">
        <v>173818.19</v>
      </c>
      <c r="F142" s="20">
        <v>179883.36</v>
      </c>
      <c r="G142" s="20">
        <v>180000</v>
      </c>
      <c r="H142" s="20">
        <v>180000</v>
      </c>
      <c r="I142" s="20">
        <v>180000</v>
      </c>
    </row>
    <row r="143" spans="1:9">
      <c r="A143" s="19" t="s">
        <v>31</v>
      </c>
      <c r="B143" s="8" t="s">
        <v>99</v>
      </c>
      <c r="C143" s="8" t="s">
        <v>134</v>
      </c>
      <c r="D143" s="22" t="s">
        <v>135</v>
      </c>
      <c r="E143" s="51">
        <v>17182.830000000002</v>
      </c>
      <c r="F143" s="20">
        <v>37992.54</v>
      </c>
      <c r="G143" s="20">
        <v>15000</v>
      </c>
      <c r="H143" s="20">
        <v>15000</v>
      </c>
      <c r="I143" s="20">
        <v>15000</v>
      </c>
    </row>
    <row r="144" spans="1:9">
      <c r="A144" s="19" t="s">
        <v>31</v>
      </c>
      <c r="B144" s="8" t="s">
        <v>99</v>
      </c>
      <c r="C144" s="8" t="s">
        <v>136</v>
      </c>
      <c r="D144" s="22" t="s">
        <v>84</v>
      </c>
      <c r="E144" s="51">
        <v>11720.75</v>
      </c>
      <c r="F144" s="20">
        <v>6169.62</v>
      </c>
      <c r="G144" s="20">
        <v>6500</v>
      </c>
      <c r="H144" s="20">
        <v>6500</v>
      </c>
      <c r="I144" s="20">
        <v>6500</v>
      </c>
    </row>
    <row r="145" spans="1:9">
      <c r="A145" s="19" t="s">
        <v>31</v>
      </c>
      <c r="B145" s="8" t="s">
        <v>99</v>
      </c>
      <c r="C145" s="8">
        <v>4</v>
      </c>
      <c r="D145" s="22" t="s">
        <v>137</v>
      </c>
      <c r="E145" s="51">
        <v>58503.41</v>
      </c>
      <c r="F145" s="20">
        <v>62761.21</v>
      </c>
      <c r="G145" s="20">
        <v>63000</v>
      </c>
      <c r="H145" s="20">
        <v>63000</v>
      </c>
      <c r="I145" s="20">
        <v>63000</v>
      </c>
    </row>
    <row r="146" spans="1:9">
      <c r="A146" s="19" t="s">
        <v>31</v>
      </c>
      <c r="B146" s="8" t="s">
        <v>99</v>
      </c>
      <c r="C146" s="8" t="s">
        <v>61</v>
      </c>
      <c r="D146" s="22" t="s">
        <v>212</v>
      </c>
      <c r="E146" s="51">
        <v>58503.41</v>
      </c>
      <c r="F146" s="20">
        <v>62761.21</v>
      </c>
      <c r="G146" s="20">
        <v>63000</v>
      </c>
      <c r="H146" s="20">
        <v>63000</v>
      </c>
      <c r="I146" s="20">
        <v>63000</v>
      </c>
    </row>
    <row r="147" spans="1:9" s="127" customFormat="1">
      <c r="A147" s="131" t="s">
        <v>31</v>
      </c>
      <c r="B147" s="132" t="s">
        <v>99</v>
      </c>
      <c r="C147" s="45" t="s">
        <v>21</v>
      </c>
      <c r="D147" s="133" t="s">
        <v>138</v>
      </c>
      <c r="E147" s="131">
        <f>+E148+E149</f>
        <v>3552196.5300000003</v>
      </c>
      <c r="F147" s="131">
        <f>+F148+F149</f>
        <v>3444373.72</v>
      </c>
      <c r="G147" s="131">
        <f t="shared" ref="G147:I147" si="33">+G148+G149</f>
        <v>3320382.48</v>
      </c>
      <c r="H147" s="131">
        <f t="shared" si="33"/>
        <v>3204476.67</v>
      </c>
      <c r="I147" s="131">
        <f t="shared" si="33"/>
        <v>3088570.0500000003</v>
      </c>
    </row>
    <row r="148" spans="1:9">
      <c r="A148" s="19" t="s">
        <v>31</v>
      </c>
      <c r="B148" s="8" t="s">
        <v>99</v>
      </c>
      <c r="C148" s="8">
        <v>1</v>
      </c>
      <c r="D148" s="22" t="s">
        <v>139</v>
      </c>
      <c r="E148" s="51">
        <v>0</v>
      </c>
      <c r="F148" s="20">
        <v>0</v>
      </c>
      <c r="G148" s="20">
        <v>0</v>
      </c>
      <c r="H148" s="20">
        <v>0</v>
      </c>
      <c r="I148" s="20">
        <v>0</v>
      </c>
    </row>
    <row r="149" spans="1:9">
      <c r="A149" s="19" t="s">
        <v>31</v>
      </c>
      <c r="B149" s="8" t="s">
        <v>99</v>
      </c>
      <c r="C149" s="8">
        <v>2</v>
      </c>
      <c r="D149" s="24" t="s">
        <v>70</v>
      </c>
      <c r="E149" s="20">
        <f>+E151+E150</f>
        <v>3552196.5300000003</v>
      </c>
      <c r="F149" s="20">
        <f>+F151+F150</f>
        <v>3444373.72</v>
      </c>
      <c r="G149" s="20">
        <f>+G151+G150</f>
        <v>3320382.48</v>
      </c>
      <c r="H149" s="20">
        <f>+H151+H150</f>
        <v>3204476.67</v>
      </c>
      <c r="I149" s="21">
        <f>+I151+I150</f>
        <v>3088570.0500000003</v>
      </c>
    </row>
    <row r="150" spans="1:9">
      <c r="A150" s="19" t="s">
        <v>31</v>
      </c>
      <c r="B150" s="8" t="s">
        <v>99</v>
      </c>
      <c r="C150" s="8" t="s">
        <v>61</v>
      </c>
      <c r="D150" s="22" t="s">
        <v>118</v>
      </c>
      <c r="E150" s="51">
        <v>3436289.64</v>
      </c>
      <c r="F150" s="20">
        <v>3320383.29</v>
      </c>
      <c r="G150" s="20">
        <v>3204475.86</v>
      </c>
      <c r="H150" s="20">
        <v>3088570.05</v>
      </c>
      <c r="I150" s="20">
        <v>2972663.43</v>
      </c>
    </row>
    <row r="151" spans="1:9">
      <c r="A151" s="19" t="s">
        <v>31</v>
      </c>
      <c r="B151" s="8" t="s">
        <v>99</v>
      </c>
      <c r="C151" s="8" t="s">
        <v>61</v>
      </c>
      <c r="D151" s="22" t="s">
        <v>119</v>
      </c>
      <c r="E151" s="51">
        <v>115906.89</v>
      </c>
      <c r="F151" s="20">
        <v>123990.43</v>
      </c>
      <c r="G151" s="21">
        <v>115906.62</v>
      </c>
      <c r="H151" s="21">
        <v>115906.62</v>
      </c>
      <c r="I151" s="21">
        <v>115906.62</v>
      </c>
    </row>
    <row r="152" spans="1:9">
      <c r="A152" s="37" t="s">
        <v>31</v>
      </c>
      <c r="B152" s="38" t="s">
        <v>99</v>
      </c>
      <c r="C152" s="38"/>
      <c r="D152" s="39" t="s">
        <v>140</v>
      </c>
      <c r="E152" s="40">
        <f>+E92+E104</f>
        <v>9375024.1600000001</v>
      </c>
      <c r="F152" s="40">
        <f>+F92+F104</f>
        <v>9717215.4600000009</v>
      </c>
      <c r="G152" s="40">
        <f>+G92+G104</f>
        <v>9598845.4800000004</v>
      </c>
      <c r="H152" s="40">
        <f>+H92+H104</f>
        <v>9509169.6099999994</v>
      </c>
      <c r="I152" s="40">
        <f>+I92+I104</f>
        <v>9489918.4300000016</v>
      </c>
    </row>
    <row r="153" spans="1:9">
      <c r="A153" s="37"/>
      <c r="B153" s="41"/>
      <c r="C153" s="41"/>
      <c r="D153" s="42" t="s">
        <v>141</v>
      </c>
      <c r="E153" s="43" t="b">
        <f>EXACT(E91,E152)</f>
        <v>1</v>
      </c>
      <c r="F153" s="43" t="b">
        <f>EXACT(F91,F152)</f>
        <v>1</v>
      </c>
      <c r="G153" s="43" t="b">
        <f>EXACT(G91,G152)</f>
        <v>1</v>
      </c>
      <c r="H153" s="43" t="b">
        <f>EXACT(H91,H152)</f>
        <v>1</v>
      </c>
      <c r="I153" s="43" t="b">
        <f>EXACT(I91,I152)</f>
        <v>1</v>
      </c>
    </row>
    <row r="154" spans="1:9" ht="22.5">
      <c r="A154" s="19" t="s">
        <v>142</v>
      </c>
      <c r="B154" s="8" t="s">
        <v>143</v>
      </c>
      <c r="C154" s="16" t="s">
        <v>33</v>
      </c>
      <c r="D154" s="17" t="s">
        <v>144</v>
      </c>
      <c r="E154" s="18">
        <f>SUM(E156:E159)</f>
        <v>9540646.709999999</v>
      </c>
      <c r="F154" s="18">
        <f>SUM(F156:F159)</f>
        <v>10084728.6</v>
      </c>
      <c r="G154" s="18">
        <f t="shared" ref="G154:I154" si="34">SUM(G156:G159)</f>
        <v>10926493.949999999</v>
      </c>
      <c r="H154" s="18">
        <f t="shared" si="34"/>
        <v>10739041.720000001</v>
      </c>
      <c r="I154" s="18">
        <f t="shared" si="34"/>
        <v>10780000</v>
      </c>
    </row>
    <row r="155" spans="1:9">
      <c r="A155" s="19" t="s">
        <v>142</v>
      </c>
      <c r="B155" s="8" t="s">
        <v>143</v>
      </c>
      <c r="C155" s="8" t="s">
        <v>61</v>
      </c>
      <c r="D155" s="22" t="s">
        <v>145</v>
      </c>
      <c r="E155" s="51">
        <v>0</v>
      </c>
      <c r="F155" s="20">
        <v>0</v>
      </c>
      <c r="G155" s="20">
        <v>0</v>
      </c>
      <c r="H155" s="20">
        <v>0</v>
      </c>
      <c r="I155" s="20">
        <v>0</v>
      </c>
    </row>
    <row r="156" spans="1:9">
      <c r="A156" s="19" t="s">
        <v>142</v>
      </c>
      <c r="B156" s="8" t="s">
        <v>143</v>
      </c>
      <c r="C156" s="8" t="s">
        <v>5</v>
      </c>
      <c r="D156" s="22" t="s">
        <v>146</v>
      </c>
      <c r="E156" s="51">
        <v>9392799.5299999993</v>
      </c>
      <c r="F156" s="20">
        <v>10186888.199999999</v>
      </c>
      <c r="G156" s="20">
        <v>10967995.52</v>
      </c>
      <c r="H156" s="20">
        <v>10780000</v>
      </c>
      <c r="I156" s="20">
        <v>10780000</v>
      </c>
    </row>
    <row r="157" spans="1:9" ht="22.5">
      <c r="A157" s="19" t="s">
        <v>142</v>
      </c>
      <c r="B157" s="8" t="s">
        <v>143</v>
      </c>
      <c r="C157" s="8" t="s">
        <v>11</v>
      </c>
      <c r="D157" s="22" t="s">
        <v>147</v>
      </c>
      <c r="E157" s="51">
        <v>147847.18</v>
      </c>
      <c r="F157" s="20">
        <v>-102159.6</v>
      </c>
      <c r="G157" s="20">
        <v>-41501.57</v>
      </c>
      <c r="H157" s="20">
        <v>-40958.28</v>
      </c>
      <c r="I157" s="20">
        <v>0</v>
      </c>
    </row>
    <row r="158" spans="1:9" ht="22.5">
      <c r="A158" s="19" t="s">
        <v>142</v>
      </c>
      <c r="B158" s="8" t="s">
        <v>143</v>
      </c>
      <c r="C158" s="8" t="s">
        <v>16</v>
      </c>
      <c r="D158" s="22" t="s">
        <v>148</v>
      </c>
      <c r="E158" s="51">
        <v>0</v>
      </c>
      <c r="F158" s="20">
        <v>0</v>
      </c>
      <c r="G158" s="20">
        <v>0</v>
      </c>
      <c r="H158" s="20">
        <v>0</v>
      </c>
      <c r="I158" s="20">
        <v>0</v>
      </c>
    </row>
    <row r="159" spans="1:9">
      <c r="A159" s="19" t="s">
        <v>142</v>
      </c>
      <c r="B159" s="8" t="s">
        <v>143</v>
      </c>
      <c r="C159" s="8" t="s">
        <v>21</v>
      </c>
      <c r="D159" s="22" t="s">
        <v>149</v>
      </c>
      <c r="E159" s="51">
        <v>0</v>
      </c>
      <c r="F159" s="20">
        <v>0</v>
      </c>
      <c r="G159" s="20">
        <v>0</v>
      </c>
      <c r="H159" s="20">
        <v>0</v>
      </c>
      <c r="I159" s="20">
        <v>0</v>
      </c>
    </row>
    <row r="160" spans="1:9">
      <c r="A160" s="19" t="s">
        <v>142</v>
      </c>
      <c r="B160" s="8" t="s">
        <v>143</v>
      </c>
      <c r="C160" s="16" t="s">
        <v>71</v>
      </c>
      <c r="D160" s="17" t="s">
        <v>150</v>
      </c>
      <c r="E160" s="18">
        <f>SUM(E161:E170)-E168</f>
        <v>9413247.959999999</v>
      </c>
      <c r="F160" s="18">
        <f t="shared" ref="F160:I160" si="35">SUM(F161:F170)-F168</f>
        <v>9992556.950000003</v>
      </c>
      <c r="G160" s="18">
        <f t="shared" si="35"/>
        <v>10985953.27</v>
      </c>
      <c r="H160" s="18">
        <f t="shared" si="35"/>
        <v>10821868.289999999</v>
      </c>
      <c r="I160" s="18">
        <f t="shared" si="35"/>
        <v>10814921.18</v>
      </c>
    </row>
    <row r="161" spans="1:9">
      <c r="A161" s="19" t="s">
        <v>142</v>
      </c>
      <c r="B161" s="8" t="s">
        <v>143</v>
      </c>
      <c r="C161" s="16" t="s">
        <v>5</v>
      </c>
      <c r="D161" s="25" t="s">
        <v>151</v>
      </c>
      <c r="E161" s="78">
        <v>275186.96000000002</v>
      </c>
      <c r="F161" s="20">
        <v>310432.32</v>
      </c>
      <c r="G161" s="20">
        <v>280453.27</v>
      </c>
      <c r="H161" s="20">
        <v>344868.29</v>
      </c>
      <c r="I161" s="20">
        <v>337921.18</v>
      </c>
    </row>
    <row r="162" spans="1:9">
      <c r="A162" s="19" t="s">
        <v>142</v>
      </c>
      <c r="B162" s="8" t="s">
        <v>143</v>
      </c>
      <c r="C162" s="16" t="s">
        <v>11</v>
      </c>
      <c r="D162" s="25" t="s">
        <v>152</v>
      </c>
      <c r="E162" s="78">
        <v>734027.78</v>
      </c>
      <c r="F162" s="20">
        <v>922355.55</v>
      </c>
      <c r="G162" s="20">
        <v>1033500</v>
      </c>
      <c r="H162" s="20">
        <v>950000</v>
      </c>
      <c r="I162" s="20">
        <v>950000</v>
      </c>
    </row>
    <row r="163" spans="1:9">
      <c r="A163" s="19" t="s">
        <v>142</v>
      </c>
      <c r="B163" s="8" t="s">
        <v>143</v>
      </c>
      <c r="C163" s="16" t="s">
        <v>16</v>
      </c>
      <c r="D163" s="25" t="s">
        <v>153</v>
      </c>
      <c r="E163" s="78">
        <v>3212951.57</v>
      </c>
      <c r="F163" s="20">
        <v>3329494.36</v>
      </c>
      <c r="G163" s="20">
        <v>3356000</v>
      </c>
      <c r="H163" s="20">
        <v>3356000</v>
      </c>
      <c r="I163" s="20">
        <v>3356000</v>
      </c>
    </row>
    <row r="164" spans="1:9">
      <c r="A164" s="19" t="s">
        <v>142</v>
      </c>
      <c r="B164" s="8" t="s">
        <v>143</v>
      </c>
      <c r="C164" s="16" t="s">
        <v>21</v>
      </c>
      <c r="D164" s="25" t="s">
        <v>154</v>
      </c>
      <c r="E164" s="138">
        <v>68966</v>
      </c>
      <c r="F164" s="20">
        <v>44032.4</v>
      </c>
      <c r="G164" s="20">
        <v>60000</v>
      </c>
      <c r="H164" s="20">
        <v>60000</v>
      </c>
      <c r="I164" s="20">
        <v>60000</v>
      </c>
    </row>
    <row r="165" spans="1:9">
      <c r="A165" s="19" t="s">
        <v>142</v>
      </c>
      <c r="B165" s="8" t="s">
        <v>143</v>
      </c>
      <c r="C165" s="8" t="s">
        <v>61</v>
      </c>
      <c r="D165" s="22" t="s">
        <v>155</v>
      </c>
      <c r="E165" s="51">
        <v>0</v>
      </c>
      <c r="F165" s="20">
        <v>0</v>
      </c>
      <c r="G165" s="20">
        <v>0</v>
      </c>
      <c r="H165" s="20">
        <v>0</v>
      </c>
      <c r="I165" s="20">
        <v>0</v>
      </c>
    </row>
    <row r="166" spans="1:9">
      <c r="A166" s="19" t="s">
        <v>142</v>
      </c>
      <c r="B166" s="8" t="s">
        <v>143</v>
      </c>
      <c r="C166" s="16" t="s">
        <v>67</v>
      </c>
      <c r="D166" s="25" t="s">
        <v>156</v>
      </c>
      <c r="E166" s="78">
        <v>4270680.2300000004</v>
      </c>
      <c r="F166" s="20">
        <v>4488468.13</v>
      </c>
      <c r="G166" s="20">
        <v>5220000</v>
      </c>
      <c r="H166" s="20">
        <v>5100000</v>
      </c>
      <c r="I166" s="20">
        <v>5100000</v>
      </c>
    </row>
    <row r="167" spans="1:9" ht="12.75" customHeight="1">
      <c r="A167" s="19" t="s">
        <v>142</v>
      </c>
      <c r="B167" s="8" t="s">
        <v>143</v>
      </c>
      <c r="C167" s="16" t="s">
        <v>104</v>
      </c>
      <c r="D167" s="25" t="s">
        <v>205</v>
      </c>
      <c r="E167" s="78">
        <v>824926.38</v>
      </c>
      <c r="F167" s="20">
        <v>871278.06</v>
      </c>
      <c r="G167" s="20">
        <v>1005000</v>
      </c>
      <c r="H167" s="20">
        <v>980000</v>
      </c>
      <c r="I167" s="20">
        <v>980000</v>
      </c>
    </row>
    <row r="168" spans="1:9" ht="12.75" customHeight="1">
      <c r="A168" s="19" t="s">
        <v>142</v>
      </c>
      <c r="B168" s="8" t="s">
        <v>143</v>
      </c>
      <c r="C168" s="8" t="s">
        <v>61</v>
      </c>
      <c r="D168" s="22" t="s">
        <v>206</v>
      </c>
      <c r="E168" s="51">
        <v>380289.87</v>
      </c>
      <c r="F168" s="20">
        <v>407595.35</v>
      </c>
      <c r="G168" s="20">
        <v>470000</v>
      </c>
      <c r="H168" s="20">
        <v>460000</v>
      </c>
      <c r="I168" s="20">
        <v>460000</v>
      </c>
    </row>
    <row r="169" spans="1:9">
      <c r="A169" s="20" t="s">
        <v>142</v>
      </c>
      <c r="B169" s="8" t="s">
        <v>143</v>
      </c>
      <c r="C169" s="45" t="s">
        <v>106</v>
      </c>
      <c r="D169" s="46" t="s">
        <v>157</v>
      </c>
      <c r="E169" s="79">
        <v>26509.040000000001</v>
      </c>
      <c r="F169" s="20">
        <v>26496.13</v>
      </c>
      <c r="G169" s="20">
        <v>31000</v>
      </c>
      <c r="H169" s="20">
        <v>31000</v>
      </c>
      <c r="I169" s="20">
        <v>31000</v>
      </c>
    </row>
    <row r="170" spans="1:9">
      <c r="A170" s="19" t="s">
        <v>142</v>
      </c>
      <c r="B170" s="8" t="s">
        <v>143</v>
      </c>
      <c r="C170" s="16" t="s">
        <v>108</v>
      </c>
      <c r="D170" s="25" t="s">
        <v>158</v>
      </c>
      <c r="E170" s="78">
        <v>0</v>
      </c>
      <c r="F170" s="20">
        <v>0</v>
      </c>
      <c r="G170" s="20">
        <v>0</v>
      </c>
      <c r="H170" s="20">
        <v>0</v>
      </c>
      <c r="I170" s="20">
        <v>0</v>
      </c>
    </row>
    <row r="171" spans="1:9">
      <c r="A171" s="19" t="s">
        <v>142</v>
      </c>
      <c r="B171" s="8" t="s">
        <v>143</v>
      </c>
      <c r="C171" s="16" t="s">
        <v>159</v>
      </c>
      <c r="D171" s="17" t="s">
        <v>160</v>
      </c>
      <c r="E171" s="18">
        <f>+E154-E160</f>
        <v>127398.75</v>
      </c>
      <c r="F171" s="18">
        <f>+F154-F160</f>
        <v>92171.649999996647</v>
      </c>
      <c r="G171" s="18">
        <f t="shared" ref="G171:I171" si="36">+G154-G160</f>
        <v>-59459.320000000298</v>
      </c>
      <c r="H171" s="18">
        <f t="shared" si="36"/>
        <v>-82826.569999998435</v>
      </c>
      <c r="I171" s="18">
        <f t="shared" si="36"/>
        <v>-34921.179999999702</v>
      </c>
    </row>
    <row r="172" spans="1:9">
      <c r="A172" s="19" t="s">
        <v>142</v>
      </c>
      <c r="B172" s="8" t="s">
        <v>143</v>
      </c>
      <c r="C172" s="16" t="s">
        <v>161</v>
      </c>
      <c r="D172" s="17" t="s">
        <v>162</v>
      </c>
      <c r="E172" s="18">
        <f>SUM(E173:E175)</f>
        <v>118751.1</v>
      </c>
      <c r="F172" s="18">
        <f>SUM(F173:F175)</f>
        <v>270086.53999999998</v>
      </c>
      <c r="G172" s="18">
        <f t="shared" ref="G172:I172" si="37">SUM(G173:G175)</f>
        <v>125990.43</v>
      </c>
      <c r="H172" s="18">
        <f t="shared" si="37"/>
        <v>125906.62</v>
      </c>
      <c r="I172" s="18">
        <f t="shared" si="37"/>
        <v>125906.62</v>
      </c>
    </row>
    <row r="173" spans="1:9">
      <c r="A173" s="19" t="s">
        <v>142</v>
      </c>
      <c r="B173" s="8" t="s">
        <v>143</v>
      </c>
      <c r="C173" s="8" t="s">
        <v>5</v>
      </c>
      <c r="D173" s="22" t="s">
        <v>163</v>
      </c>
      <c r="E173" s="51">
        <v>0</v>
      </c>
      <c r="F173" s="20">
        <v>0</v>
      </c>
      <c r="G173" s="20">
        <v>0</v>
      </c>
      <c r="H173" s="20">
        <v>0</v>
      </c>
      <c r="I173" s="20">
        <v>0</v>
      </c>
    </row>
    <row r="174" spans="1:9">
      <c r="A174" s="19" t="s">
        <v>142</v>
      </c>
      <c r="B174" s="8" t="s">
        <v>143</v>
      </c>
      <c r="C174" s="8" t="s">
        <v>11</v>
      </c>
      <c r="D174" s="22" t="s">
        <v>164</v>
      </c>
      <c r="E174" s="51">
        <v>115906.89</v>
      </c>
      <c r="F174" s="20">
        <v>151756.99</v>
      </c>
      <c r="G174" s="20">
        <v>123990.43</v>
      </c>
      <c r="H174" s="20">
        <v>115906.62</v>
      </c>
      <c r="I174" s="20">
        <v>115906.62</v>
      </c>
    </row>
    <row r="175" spans="1:9">
      <c r="A175" s="19" t="s">
        <v>142</v>
      </c>
      <c r="B175" s="8" t="s">
        <v>143</v>
      </c>
      <c r="C175" s="8" t="s">
        <v>16</v>
      </c>
      <c r="D175" s="22" t="s">
        <v>165</v>
      </c>
      <c r="E175" s="51">
        <v>2844.21</v>
      </c>
      <c r="F175" s="20">
        <v>118329.55</v>
      </c>
      <c r="G175" s="20">
        <v>2000</v>
      </c>
      <c r="H175" s="20">
        <v>10000</v>
      </c>
      <c r="I175" s="20">
        <v>10000</v>
      </c>
    </row>
    <row r="176" spans="1:9">
      <c r="A176" s="19" t="s">
        <v>142</v>
      </c>
      <c r="B176" s="8" t="s">
        <v>143</v>
      </c>
      <c r="C176" s="16" t="s">
        <v>166</v>
      </c>
      <c r="D176" s="17" t="s">
        <v>167</v>
      </c>
      <c r="E176" s="18">
        <f>SUM(E177:E179)</f>
        <v>45.16</v>
      </c>
      <c r="F176" s="18">
        <f>SUM(F177:F179)</f>
        <v>0</v>
      </c>
      <c r="G176" s="18">
        <f t="shared" ref="G176:I176" si="38">SUM(G177:G179)</f>
        <v>2000</v>
      </c>
      <c r="H176" s="18">
        <f t="shared" si="38"/>
        <v>2000</v>
      </c>
      <c r="I176" s="18">
        <f t="shared" si="38"/>
        <v>2000</v>
      </c>
    </row>
    <row r="177" spans="1:9">
      <c r="A177" s="19" t="s">
        <v>142</v>
      </c>
      <c r="B177" s="8" t="s">
        <v>143</v>
      </c>
      <c r="C177" s="8" t="s">
        <v>5</v>
      </c>
      <c r="D177" s="22" t="s">
        <v>168</v>
      </c>
      <c r="E177" s="51">
        <v>0</v>
      </c>
      <c r="F177" s="20">
        <v>0</v>
      </c>
      <c r="G177" s="20">
        <v>0</v>
      </c>
      <c r="H177" s="20">
        <v>0</v>
      </c>
      <c r="I177" s="20">
        <v>0</v>
      </c>
    </row>
    <row r="178" spans="1:9">
      <c r="A178" s="19" t="s">
        <v>142</v>
      </c>
      <c r="B178" s="8" t="s">
        <v>143</v>
      </c>
      <c r="C178" s="8" t="s">
        <v>11</v>
      </c>
      <c r="D178" s="22" t="s">
        <v>169</v>
      </c>
      <c r="E178" s="51">
        <v>0</v>
      </c>
      <c r="F178" s="20">
        <v>0</v>
      </c>
      <c r="G178" s="20">
        <v>0</v>
      </c>
      <c r="H178" s="20">
        <v>0</v>
      </c>
      <c r="I178" s="20">
        <v>0</v>
      </c>
    </row>
    <row r="179" spans="1:9">
      <c r="A179" s="19" t="s">
        <v>142</v>
      </c>
      <c r="B179" s="8" t="s">
        <v>143</v>
      </c>
      <c r="C179" s="8" t="s">
        <v>16</v>
      </c>
      <c r="D179" s="22" t="s">
        <v>170</v>
      </c>
      <c r="E179" s="51">
        <v>45.16</v>
      </c>
      <c r="F179" s="20">
        <v>0</v>
      </c>
      <c r="G179" s="20">
        <v>2000</v>
      </c>
      <c r="H179" s="20">
        <v>2000</v>
      </c>
      <c r="I179" s="20">
        <v>2000</v>
      </c>
    </row>
    <row r="180" spans="1:9">
      <c r="A180" s="19" t="s">
        <v>142</v>
      </c>
      <c r="B180" s="8" t="s">
        <v>143</v>
      </c>
      <c r="C180" s="16" t="s">
        <v>171</v>
      </c>
      <c r="D180" s="17" t="s">
        <v>172</v>
      </c>
      <c r="E180" s="18">
        <f>+E171+E172-E176</f>
        <v>246104.69</v>
      </c>
      <c r="F180" s="18">
        <f>+F171+F172-F176</f>
        <v>362258.18999999663</v>
      </c>
      <c r="G180" s="18">
        <f t="shared" ref="G180:I180" si="39">+G171+G172-G176</f>
        <v>64531.109999999695</v>
      </c>
      <c r="H180" s="18">
        <f t="shared" si="39"/>
        <v>41080.05000000156</v>
      </c>
      <c r="I180" s="18">
        <f t="shared" si="39"/>
        <v>88985.440000000293</v>
      </c>
    </row>
    <row r="181" spans="1:9">
      <c r="A181" s="19" t="s">
        <v>142</v>
      </c>
      <c r="B181" s="8" t="s">
        <v>143</v>
      </c>
      <c r="C181" s="16" t="s">
        <v>173</v>
      </c>
      <c r="D181" s="17" t="s">
        <v>174</v>
      </c>
      <c r="E181" s="18">
        <f>SUM(E182:E188)-E183-E185</f>
        <v>18582.439999999999</v>
      </c>
      <c r="F181" s="18">
        <f>SUM(F182:F188)-F183-F185</f>
        <v>6947.31</v>
      </c>
      <c r="G181" s="18">
        <f t="shared" ref="G181:I181" si="40">SUM(G182:G188)-G183-G185</f>
        <v>2000</v>
      </c>
      <c r="H181" s="18">
        <f t="shared" si="40"/>
        <v>2000</v>
      </c>
      <c r="I181" s="18">
        <f t="shared" si="40"/>
        <v>2000</v>
      </c>
    </row>
    <row r="182" spans="1:9">
      <c r="A182" s="19" t="s">
        <v>142</v>
      </c>
      <c r="B182" s="8" t="s">
        <v>143</v>
      </c>
      <c r="C182" s="8" t="s">
        <v>5</v>
      </c>
      <c r="D182" s="22" t="s">
        <v>175</v>
      </c>
      <c r="E182" s="51">
        <v>0</v>
      </c>
      <c r="F182" s="20">
        <v>0</v>
      </c>
      <c r="G182" s="20">
        <v>0</v>
      </c>
      <c r="H182" s="20">
        <v>0</v>
      </c>
      <c r="I182" s="20">
        <v>0</v>
      </c>
    </row>
    <row r="183" spans="1:9">
      <c r="A183" s="19" t="s">
        <v>142</v>
      </c>
      <c r="B183" s="8" t="s">
        <v>143</v>
      </c>
      <c r="C183" s="8" t="s">
        <v>61</v>
      </c>
      <c r="D183" s="22" t="s">
        <v>145</v>
      </c>
      <c r="E183" s="51">
        <v>0</v>
      </c>
      <c r="F183" s="20">
        <v>0</v>
      </c>
      <c r="G183" s="20">
        <v>0</v>
      </c>
      <c r="H183" s="20">
        <v>0</v>
      </c>
      <c r="I183" s="20">
        <v>0</v>
      </c>
    </row>
    <row r="184" spans="1:9">
      <c r="A184" s="19" t="s">
        <v>142</v>
      </c>
      <c r="B184" s="8" t="s">
        <v>143</v>
      </c>
      <c r="C184" s="8" t="s">
        <v>11</v>
      </c>
      <c r="D184" s="22" t="s">
        <v>176</v>
      </c>
      <c r="E184" s="51">
        <v>18582.439999999999</v>
      </c>
      <c r="F184" s="20">
        <v>6947.31</v>
      </c>
      <c r="G184" s="20">
        <v>2000</v>
      </c>
      <c r="H184" s="20">
        <v>2000</v>
      </c>
      <c r="I184" s="20">
        <v>2000</v>
      </c>
    </row>
    <row r="185" spans="1:9">
      <c r="A185" s="19" t="s">
        <v>142</v>
      </c>
      <c r="B185" s="8" t="s">
        <v>143</v>
      </c>
      <c r="C185" s="8" t="s">
        <v>61</v>
      </c>
      <c r="D185" s="22" t="s">
        <v>145</v>
      </c>
      <c r="E185" s="51">
        <v>0</v>
      </c>
      <c r="F185" s="20">
        <v>0</v>
      </c>
      <c r="G185" s="20">
        <v>0</v>
      </c>
      <c r="H185" s="20">
        <v>0</v>
      </c>
      <c r="I185" s="20">
        <v>0</v>
      </c>
    </row>
    <row r="186" spans="1:9">
      <c r="A186" s="19" t="s">
        <v>142</v>
      </c>
      <c r="B186" s="8" t="s">
        <v>143</v>
      </c>
      <c r="C186" s="8" t="s">
        <v>16</v>
      </c>
      <c r="D186" s="22" t="s">
        <v>177</v>
      </c>
      <c r="E186" s="51">
        <v>0</v>
      </c>
      <c r="F186" s="20">
        <v>0</v>
      </c>
      <c r="G186" s="20">
        <v>0</v>
      </c>
      <c r="H186" s="20">
        <v>0</v>
      </c>
      <c r="I186" s="20">
        <v>0</v>
      </c>
    </row>
    <row r="187" spans="1:9">
      <c r="A187" s="19" t="s">
        <v>142</v>
      </c>
      <c r="B187" s="8" t="s">
        <v>143</v>
      </c>
      <c r="C187" s="8" t="s">
        <v>21</v>
      </c>
      <c r="D187" s="22" t="s">
        <v>178</v>
      </c>
      <c r="E187" s="51">
        <v>0</v>
      </c>
      <c r="F187" s="20">
        <v>0</v>
      </c>
      <c r="G187" s="20">
        <v>0</v>
      </c>
      <c r="H187" s="20">
        <v>0</v>
      </c>
      <c r="I187" s="20">
        <v>0</v>
      </c>
    </row>
    <row r="188" spans="1:9">
      <c r="A188" s="19" t="s">
        <v>142</v>
      </c>
      <c r="B188" s="8" t="s">
        <v>143</v>
      </c>
      <c r="C188" s="8" t="s">
        <v>179</v>
      </c>
      <c r="D188" s="22" t="s">
        <v>180</v>
      </c>
      <c r="E188" s="51">
        <v>0</v>
      </c>
      <c r="F188" s="20">
        <v>0</v>
      </c>
      <c r="G188" s="20">
        <v>0</v>
      </c>
      <c r="H188" s="20">
        <v>0</v>
      </c>
      <c r="I188" s="20">
        <v>0</v>
      </c>
    </row>
    <row r="189" spans="1:9">
      <c r="A189" s="19" t="s">
        <v>142</v>
      </c>
      <c r="B189" s="8" t="s">
        <v>143</v>
      </c>
      <c r="C189" s="16" t="s">
        <v>181</v>
      </c>
      <c r="D189" s="17" t="s">
        <v>182</v>
      </c>
      <c r="E189" s="18">
        <f>SUM(E190:E194)</f>
        <v>0</v>
      </c>
      <c r="F189" s="18">
        <f>SUM(F190:F194)</f>
        <v>0</v>
      </c>
      <c r="G189" s="18">
        <f t="shared" ref="G189:I189" si="41">SUM(G190:G194)</f>
        <v>500</v>
      </c>
      <c r="H189" s="18">
        <f t="shared" si="41"/>
        <v>500</v>
      </c>
      <c r="I189" s="18">
        <f t="shared" si="41"/>
        <v>500</v>
      </c>
    </row>
    <row r="190" spans="1:9">
      <c r="A190" s="19" t="s">
        <v>142</v>
      </c>
      <c r="B190" s="8" t="s">
        <v>143</v>
      </c>
      <c r="C190" s="8" t="s">
        <v>5</v>
      </c>
      <c r="D190" s="22" t="s">
        <v>176</v>
      </c>
      <c r="E190" s="51">
        <v>0</v>
      </c>
      <c r="F190" s="20">
        <v>0</v>
      </c>
      <c r="G190" s="20">
        <v>500</v>
      </c>
      <c r="H190" s="20">
        <v>500</v>
      </c>
      <c r="I190" s="20">
        <v>500</v>
      </c>
    </row>
    <row r="191" spans="1:9">
      <c r="A191" s="19" t="s">
        <v>142</v>
      </c>
      <c r="B191" s="8" t="s">
        <v>143</v>
      </c>
      <c r="C191" s="8" t="s">
        <v>61</v>
      </c>
      <c r="D191" s="22" t="s">
        <v>183</v>
      </c>
      <c r="E191" s="51">
        <v>0</v>
      </c>
      <c r="F191" s="20">
        <v>0</v>
      </c>
      <c r="G191" s="20">
        <v>0</v>
      </c>
      <c r="H191" s="20">
        <v>0</v>
      </c>
      <c r="I191" s="20">
        <v>0</v>
      </c>
    </row>
    <row r="192" spans="1:9">
      <c r="A192" s="19" t="s">
        <v>142</v>
      </c>
      <c r="B192" s="8" t="s">
        <v>143</v>
      </c>
      <c r="C192" s="8" t="s">
        <v>11</v>
      </c>
      <c r="D192" s="22" t="s">
        <v>184</v>
      </c>
      <c r="E192" s="51">
        <v>0</v>
      </c>
      <c r="F192" s="20">
        <v>0</v>
      </c>
      <c r="G192" s="20">
        <v>0</v>
      </c>
      <c r="H192" s="20">
        <v>0</v>
      </c>
      <c r="I192" s="20">
        <v>0</v>
      </c>
    </row>
    <row r="193" spans="1:9">
      <c r="A193" s="19" t="s">
        <v>142</v>
      </c>
      <c r="B193" s="8" t="s">
        <v>143</v>
      </c>
      <c r="C193" s="8" t="s">
        <v>16</v>
      </c>
      <c r="D193" s="22" t="s">
        <v>178</v>
      </c>
      <c r="E193" s="51">
        <v>0</v>
      </c>
      <c r="F193" s="20">
        <v>0</v>
      </c>
      <c r="G193" s="20">
        <v>0</v>
      </c>
      <c r="H193" s="20">
        <v>0</v>
      </c>
      <c r="I193" s="20">
        <v>0</v>
      </c>
    </row>
    <row r="194" spans="1:9">
      <c r="A194" s="19" t="s">
        <v>142</v>
      </c>
      <c r="B194" s="8" t="s">
        <v>143</v>
      </c>
      <c r="C194" s="8" t="s">
        <v>21</v>
      </c>
      <c r="D194" s="22" t="s">
        <v>180</v>
      </c>
      <c r="E194" s="51">
        <v>0</v>
      </c>
      <c r="F194" s="20">
        <v>0</v>
      </c>
      <c r="G194" s="20">
        <v>0</v>
      </c>
      <c r="H194" s="20">
        <v>0</v>
      </c>
      <c r="I194" s="20">
        <v>0</v>
      </c>
    </row>
    <row r="195" spans="1:9">
      <c r="A195" s="19" t="s">
        <v>142</v>
      </c>
      <c r="B195" s="8" t="s">
        <v>143</v>
      </c>
      <c r="C195" s="16" t="s">
        <v>185</v>
      </c>
      <c r="D195" s="17" t="s">
        <v>204</v>
      </c>
      <c r="E195" s="18">
        <f>+E180+E181-E189</f>
        <v>264687.13</v>
      </c>
      <c r="F195" s="18">
        <f>+F180+F181-F189</f>
        <v>369205.49999999662</v>
      </c>
      <c r="G195" s="18">
        <f t="shared" ref="G195:I195" si="42">+G180+G181-G189</f>
        <v>66031.109999999695</v>
      </c>
      <c r="H195" s="18">
        <f t="shared" si="42"/>
        <v>42580.05000000156</v>
      </c>
      <c r="I195" s="18">
        <f t="shared" si="42"/>
        <v>90485.440000000293</v>
      </c>
    </row>
    <row r="196" spans="1:9">
      <c r="A196" s="19" t="s">
        <v>142</v>
      </c>
      <c r="B196" s="8" t="s">
        <v>143</v>
      </c>
      <c r="C196" s="16" t="s">
        <v>186</v>
      </c>
      <c r="D196" s="25" t="s">
        <v>187</v>
      </c>
      <c r="E196" s="139">
        <v>10838</v>
      </c>
      <c r="F196" s="18">
        <v>6026</v>
      </c>
      <c r="G196" s="18">
        <v>8000</v>
      </c>
      <c r="H196" s="18">
        <v>9000</v>
      </c>
      <c r="I196" s="18">
        <v>10000</v>
      </c>
    </row>
    <row r="197" spans="1:9" ht="22.5">
      <c r="A197" s="19" t="s">
        <v>142</v>
      </c>
      <c r="B197" s="8" t="s">
        <v>143</v>
      </c>
      <c r="C197" s="16" t="s">
        <v>188</v>
      </c>
      <c r="D197" s="25" t="s">
        <v>189</v>
      </c>
      <c r="E197" s="78">
        <v>0</v>
      </c>
      <c r="F197" s="18">
        <v>0</v>
      </c>
      <c r="G197" s="18">
        <v>0</v>
      </c>
      <c r="H197" s="18">
        <v>0</v>
      </c>
      <c r="I197" s="18">
        <v>0</v>
      </c>
    </row>
    <row r="198" spans="1:9">
      <c r="A198" s="47" t="s">
        <v>142</v>
      </c>
      <c r="B198" s="8" t="s">
        <v>143</v>
      </c>
      <c r="C198" s="48" t="s">
        <v>190</v>
      </c>
      <c r="D198" s="49" t="s">
        <v>191</v>
      </c>
      <c r="E198" s="50">
        <f>+E195-E196-E197</f>
        <v>253849.13</v>
      </c>
      <c r="F198" s="50">
        <f>+F195-F196-F197</f>
        <v>363179.49999999662</v>
      </c>
      <c r="G198" s="50">
        <f t="shared" ref="G198:I198" si="43">+G195-G196-G197</f>
        <v>58031.109999999695</v>
      </c>
      <c r="H198" s="50">
        <f t="shared" si="43"/>
        <v>33580.05000000156</v>
      </c>
      <c r="I198" s="50">
        <f t="shared" si="43"/>
        <v>80485.440000000293</v>
      </c>
    </row>
    <row r="199" spans="1:9" s="56" customFormat="1">
      <c r="A199" s="44"/>
      <c r="B199" s="44"/>
      <c r="C199" s="52"/>
      <c r="D199" s="53"/>
      <c r="E199" s="80"/>
      <c r="F199" s="44"/>
      <c r="G199" s="54"/>
      <c r="H199" s="54"/>
      <c r="I199" s="54"/>
    </row>
    <row r="200" spans="1:9" s="57" customFormat="1">
      <c r="A200" s="15"/>
      <c r="B200" s="15"/>
      <c r="C200" s="16"/>
      <c r="D200" s="25" t="s">
        <v>192</v>
      </c>
      <c r="E200" s="18">
        <f>+E154+E172+E181</f>
        <v>9677980.2499999981</v>
      </c>
      <c r="F200" s="18">
        <f>+F154+F172+F181</f>
        <v>10361762.449999999</v>
      </c>
      <c r="G200" s="18">
        <f t="shared" ref="G200:H200" si="44">+G154+G172+G181</f>
        <v>11054484.379999999</v>
      </c>
      <c r="H200" s="18">
        <f t="shared" si="44"/>
        <v>10866948.34</v>
      </c>
      <c r="I200" s="18">
        <f>+I154+I172+I181</f>
        <v>10907906.619999999</v>
      </c>
    </row>
    <row r="201" spans="1:9" s="57" customFormat="1">
      <c r="A201" s="15"/>
      <c r="B201" s="15"/>
      <c r="C201" s="16"/>
      <c r="D201" s="25" t="s">
        <v>193</v>
      </c>
      <c r="E201" s="18">
        <f>+E160+E176+E189</f>
        <v>9413293.1199999992</v>
      </c>
      <c r="F201" s="18">
        <f>+F160+F176+F189</f>
        <v>9992556.950000003</v>
      </c>
      <c r="G201" s="18">
        <f t="shared" ref="G201:I201" si="45">+G160+G176+G189</f>
        <v>10988453.27</v>
      </c>
      <c r="H201" s="18">
        <f t="shared" si="45"/>
        <v>10824368.289999999</v>
      </c>
      <c r="I201" s="18">
        <f t="shared" si="45"/>
        <v>10817421.18</v>
      </c>
    </row>
    <row r="202" spans="1:9" ht="13.5" thickBot="1">
      <c r="C202" s="58"/>
      <c r="D202" s="59"/>
      <c r="E202" s="81"/>
      <c r="F202" s="44"/>
      <c r="G202" s="54"/>
      <c r="H202" s="54"/>
      <c r="I202" s="54"/>
    </row>
    <row r="203" spans="1:9">
      <c r="B203" s="60"/>
      <c r="C203" s="61"/>
      <c r="D203" s="62" t="s">
        <v>194</v>
      </c>
      <c r="E203" s="82"/>
      <c r="F203" s="44"/>
      <c r="G203" s="63"/>
      <c r="H203" s="54"/>
      <c r="I203" s="54"/>
    </row>
    <row r="204" spans="1:9">
      <c r="B204" s="60"/>
      <c r="C204" s="64" t="s">
        <v>5</v>
      </c>
      <c r="D204" s="65" t="s">
        <v>6</v>
      </c>
      <c r="E204" s="83"/>
      <c r="G204" s="23"/>
    </row>
    <row r="205" spans="1:9">
      <c r="A205" s="44"/>
      <c r="B205" s="55"/>
      <c r="C205" s="66"/>
      <c r="D205" s="67" t="s">
        <v>7</v>
      </c>
      <c r="E205" s="84"/>
      <c r="F205" s="44">
        <f>+F198*100%/(F200)</f>
        <v>3.5049973568926647E-2</v>
      </c>
      <c r="G205" s="44">
        <f>+G198*100%/(G200)</f>
        <v>5.2495537562105366E-3</v>
      </c>
      <c r="H205" s="44">
        <f>+H198*100%/(H200)</f>
        <v>3.0901085520391421E-3</v>
      </c>
      <c r="I205" s="44">
        <f>+I198*100%/(I200)</f>
        <v>7.3786330231712504E-3</v>
      </c>
    </row>
    <row r="206" spans="1:9">
      <c r="A206" s="44"/>
      <c r="B206" s="55"/>
      <c r="C206" s="66"/>
      <c r="D206" s="67" t="s">
        <v>8</v>
      </c>
      <c r="E206" s="84"/>
      <c r="F206" s="68">
        <f>+F180*100%/(F156+F159+F172)</f>
        <v>3.4642733582810267E-2</v>
      </c>
      <c r="G206" s="68">
        <f t="shared" ref="G206:I206" si="46">+G180*100%/(G156+G159+G172)</f>
        <v>5.8167650735126177E-3</v>
      </c>
      <c r="H206" s="68">
        <f t="shared" si="46"/>
        <v>3.7667707446409041E-3</v>
      </c>
      <c r="I206" s="68">
        <f t="shared" si="46"/>
        <v>8.1593803340304326E-3</v>
      </c>
    </row>
    <row r="207" spans="1:9">
      <c r="A207" s="44"/>
      <c r="B207" s="55"/>
      <c r="C207" s="66"/>
      <c r="D207" s="67" t="s">
        <v>9</v>
      </c>
      <c r="E207" s="84"/>
      <c r="F207" s="44">
        <f>+F198*100%/((E91+F91)/2)</f>
        <v>3.8044724686940277E-2</v>
      </c>
      <c r="G207" s="44">
        <f>+G198*100%/((F91+G91)/2)</f>
        <v>6.0085863448305831E-3</v>
      </c>
      <c r="H207" s="44">
        <f>+H198*100%/((G91+H91)/2)</f>
        <v>3.5147606741817326E-3</v>
      </c>
      <c r="I207" s="44">
        <f>+I198*100%/((H91+I91)/2)</f>
        <v>8.4725582439061416E-3</v>
      </c>
    </row>
    <row r="208" spans="1:9">
      <c r="B208" s="60"/>
      <c r="C208" s="64" t="s">
        <v>11</v>
      </c>
      <c r="D208" s="69" t="s">
        <v>12</v>
      </c>
      <c r="E208" s="83"/>
      <c r="G208" s="23"/>
    </row>
    <row r="209" spans="2:10">
      <c r="B209" s="60"/>
      <c r="C209" s="64"/>
      <c r="D209" s="70" t="s">
        <v>13</v>
      </c>
      <c r="E209" s="83"/>
      <c r="F209" s="20">
        <f>(F46-F67-F88)/(F122-F139+F109+F112)</f>
        <v>4.2281903044646656</v>
      </c>
      <c r="G209" s="20">
        <f>(G46-G67-G88)/(G122-G139+G109+G112)</f>
        <v>4.2651879241621344</v>
      </c>
      <c r="H209" s="20">
        <f>(H46-H67-H88)/(H122-H139+H109+H112)</f>
        <v>4.7026424574675776</v>
      </c>
      <c r="I209" s="20">
        <f>(I46-I67-I88)/(I122-I139+I109+I112)</f>
        <v>5.2151257669781064</v>
      </c>
      <c r="J209" s="20"/>
    </row>
    <row r="210" spans="2:10">
      <c r="B210" s="60"/>
      <c r="C210" s="64"/>
      <c r="D210" s="70" t="s">
        <v>14</v>
      </c>
      <c r="E210" s="83"/>
      <c r="F210" s="20">
        <f>(F46-F67-F88-F47)/(F122-F139+F109+F112)</f>
        <v>3.895366567012331</v>
      </c>
      <c r="G210" s="20">
        <f>(G46-G67-G88-G47)/(G122-G139+G109+G112)</f>
        <v>4.1780313211778921</v>
      </c>
      <c r="H210" s="20">
        <f>(H46-H67-H88-H47)/(H122-H139+H109+H112)</f>
        <v>4.6082228042346491</v>
      </c>
      <c r="I210" s="20">
        <f>(I46-I67-I88-I47)/(I122-I139+I109+I112)</f>
        <v>5.120706113745177</v>
      </c>
      <c r="J210" s="20"/>
    </row>
    <row r="211" spans="2:10">
      <c r="B211" s="60"/>
      <c r="C211" s="64" t="s">
        <v>16</v>
      </c>
      <c r="D211" s="71" t="s">
        <v>17</v>
      </c>
      <c r="E211" s="83"/>
      <c r="G211" s="23"/>
    </row>
    <row r="212" spans="2:10">
      <c r="B212" s="60"/>
      <c r="C212" s="64"/>
      <c r="D212" s="70" t="s">
        <v>18</v>
      </c>
      <c r="E212" s="83"/>
      <c r="F212" s="20">
        <f>+(E65+F65)/2*365/(F156+F159)</f>
        <v>34.275473645131399</v>
      </c>
      <c r="G212" s="20">
        <f>+(F65+G65)/2*365/(G156+G159)</f>
        <v>32.639401709474811</v>
      </c>
      <c r="H212" s="20">
        <f>+(G65+H65)/2*365/(H156+H159)</f>
        <v>33.18181818181818</v>
      </c>
      <c r="I212" s="20">
        <f>+(H65+I65)/2*365/(I156+I159)</f>
        <v>33.18181818181818</v>
      </c>
    </row>
    <row r="213" spans="2:10">
      <c r="B213" s="60"/>
      <c r="C213" s="64"/>
      <c r="D213" s="70" t="s">
        <v>19</v>
      </c>
      <c r="E213" s="83"/>
      <c r="F213" s="20">
        <f>+(E137+F137)/2*365/(F156+F159)</f>
        <v>12.893909469331373</v>
      </c>
      <c r="G213" s="20">
        <f>+(F137+G137)/2*365/(G156+G159)</f>
        <v>11.977464251371247</v>
      </c>
      <c r="H213" s="20">
        <f>+(G137+H137)/2*365/(H156+H159)</f>
        <v>11.911994744897958</v>
      </c>
      <c r="I213" s="20">
        <f>+(H137+I137)/2*365/(I156+I159)</f>
        <v>11.855292942949909</v>
      </c>
    </row>
    <row r="214" spans="2:10">
      <c r="B214" s="60"/>
      <c r="C214" s="64" t="s">
        <v>21</v>
      </c>
      <c r="D214" s="72" t="s">
        <v>22</v>
      </c>
      <c r="E214" s="83"/>
      <c r="G214" s="23"/>
    </row>
    <row r="215" spans="2:10">
      <c r="B215" s="60"/>
      <c r="C215" s="64"/>
      <c r="D215" s="70" t="s">
        <v>23</v>
      </c>
      <c r="E215" s="83"/>
      <c r="F215" s="44">
        <f>+(F113+F122+F105)*100%/F91</f>
        <v>9.4607231236591302E-2</v>
      </c>
      <c r="G215" s="44">
        <f>+(G113+G122+G105)*100%/G91</f>
        <v>9.03138822065922E-2</v>
      </c>
      <c r="H215" s="44">
        <f>+(H113+H122+H105)*100%/H91</f>
        <v>9.084221182589676E-2</v>
      </c>
      <c r="I215" s="44">
        <f>+(I113+I122+I105)*100%/I91</f>
        <v>9.0549145004610962E-2</v>
      </c>
    </row>
    <row r="216" spans="2:10" ht="13.5" thickBot="1">
      <c r="B216" s="60"/>
      <c r="C216" s="73"/>
      <c r="D216" s="74" t="s">
        <v>24</v>
      </c>
      <c r="E216" s="85"/>
      <c r="F216" s="20">
        <f>+(F122+F113+F105)/F92</f>
        <v>0.17172222271006293</v>
      </c>
      <c r="G216" s="20">
        <f>+(G122+G113+G105)/G92</f>
        <v>0.16019594371598248</v>
      </c>
      <c r="H216" s="20">
        <f>+(H122+H113+H105)/H92</f>
        <v>0.15876794629783214</v>
      </c>
      <c r="I216" s="20">
        <f>+(I122+I113+I105)/I92</f>
        <v>0.15505180779515879</v>
      </c>
    </row>
    <row r="217" spans="2:10">
      <c r="C217" s="75"/>
      <c r="D217" s="76"/>
      <c r="E217" s="86"/>
    </row>
  </sheetData>
  <conditionalFormatting sqref="A198 A195 A180 A171 C195:I195 C171:I171 C180:I180 C198:I198">
    <cfRule type="cellIs" dxfId="3" priority="29" stopIfTrue="1" operator="lessThan">
      <formula>0</formula>
    </cfRule>
  </conditionalFormatting>
  <conditionalFormatting sqref="A92 C92:I92">
    <cfRule type="cellIs" dxfId="2" priority="28" stopIfTrue="1" operator="lessThan">
      <formula>0</formula>
    </cfRule>
  </conditionalFormatting>
  <conditionalFormatting sqref="F2">
    <cfRule type="expression" dxfId="1" priority="43">
      <formula>(2500000*4.2623)&lt;#REF!</formula>
    </cfRule>
    <cfRule type="expression" dxfId="0" priority="44">
      <formula>(5000000*4.2623)&lt;#REF!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"/>
  <sheetViews>
    <sheetView tabSelected="1" view="pageBreakPreview" zoomScale="60" zoomScaleNormal="100" workbookViewId="0">
      <selection activeCell="A3" sqref="A3:C3"/>
    </sheetView>
  </sheetViews>
  <sheetFormatPr defaultRowHeight="12.75"/>
  <cols>
    <col min="1" max="1" width="3.28515625" style="2" bestFit="1" customWidth="1"/>
    <col min="2" max="2" width="17.42578125" style="6" customWidth="1"/>
    <col min="3" max="3" width="54.5703125" style="2" customWidth="1"/>
    <col min="4" max="4" width="13.7109375" style="2" customWidth="1"/>
    <col min="5" max="5" width="16.5703125" style="2" bestFit="1" customWidth="1"/>
    <col min="6" max="6" width="13.7109375" style="2" customWidth="1"/>
    <col min="7" max="7" width="16.5703125" style="2" bestFit="1" customWidth="1"/>
    <col min="8" max="8" width="13.7109375" style="2" customWidth="1"/>
    <col min="9" max="9" width="16.5703125" style="2" bestFit="1" customWidth="1"/>
    <col min="10" max="10" width="13.7109375" style="2" customWidth="1"/>
    <col min="11" max="11" width="16.5703125" style="2" bestFit="1" customWidth="1"/>
    <col min="12" max="16384" width="9.140625" style="2"/>
  </cols>
  <sheetData>
    <row r="1" spans="1:11" ht="24.95" customHeight="1" thickBot="1">
      <c r="A1" s="87" t="s">
        <v>0</v>
      </c>
      <c r="B1" s="1"/>
      <c r="C1" s="1"/>
      <c r="D1" s="88"/>
    </row>
    <row r="2" spans="1:11" ht="13.5" thickBot="1"/>
    <row r="3" spans="1:11" ht="25.5" customHeight="1">
      <c r="A3" s="146" t="s">
        <v>217</v>
      </c>
      <c r="B3" s="147"/>
      <c r="C3" s="148"/>
      <c r="D3" s="142">
        <v>2020</v>
      </c>
      <c r="E3" s="143"/>
      <c r="F3" s="140">
        <v>2021</v>
      </c>
      <c r="G3" s="141"/>
      <c r="H3" s="142">
        <v>2022</v>
      </c>
      <c r="I3" s="143"/>
      <c r="J3" s="140">
        <v>2023</v>
      </c>
      <c r="K3" s="143"/>
    </row>
    <row r="4" spans="1:11" s="3" customFormat="1" ht="24.95" customHeight="1">
      <c r="A4" s="117" t="s">
        <v>1</v>
      </c>
      <c r="B4" s="89"/>
      <c r="C4" s="95" t="s">
        <v>2</v>
      </c>
      <c r="D4" s="104" t="s">
        <v>3</v>
      </c>
      <c r="E4" s="105" t="s">
        <v>4</v>
      </c>
      <c r="F4" s="98" t="s">
        <v>3</v>
      </c>
      <c r="G4" s="95" t="s">
        <v>4</v>
      </c>
      <c r="H4" s="104" t="s">
        <v>3</v>
      </c>
      <c r="I4" s="105" t="s">
        <v>4</v>
      </c>
      <c r="J4" s="98" t="s">
        <v>3</v>
      </c>
      <c r="K4" s="105" t="s">
        <v>4</v>
      </c>
    </row>
    <row r="5" spans="1:11" ht="21.75" customHeight="1">
      <c r="A5" s="145" t="s">
        <v>5</v>
      </c>
      <c r="B5" s="144" t="s">
        <v>6</v>
      </c>
      <c r="C5" s="96" t="s">
        <v>7</v>
      </c>
      <c r="D5" s="106">
        <f>+dane!F205</f>
        <v>3.5049973568926647E-2</v>
      </c>
      <c r="E5" s="107">
        <f>IF(D5&lt;0,0,IF(AND(D5&gt;=0,D5&lt;=0.02),3,IF(AND(D5&gt;0.02,D5&lt;=0.04),4,5)))</f>
        <v>4</v>
      </c>
      <c r="F5" s="99">
        <f>+dane!G205</f>
        <v>5.2495537562105366E-3</v>
      </c>
      <c r="G5" s="94">
        <f>IF(F5&lt;0,0,IF(AND(F5&gt;=0,F5&lt;=0.02),3,IF(AND(F5&gt;0.02,F5&lt;=0.04),4,5)))</f>
        <v>3</v>
      </c>
      <c r="H5" s="106">
        <f>+dane!H205</f>
        <v>3.0901085520391421E-3</v>
      </c>
      <c r="I5" s="107">
        <f>IF(H5&lt;0,0,IF(AND(H5&gt;=0,H5&lt;=0.02),3,IF(AND(H5&gt;0.02,H5&lt;=0.04),4,5)))</f>
        <v>3</v>
      </c>
      <c r="J5" s="99">
        <f>+dane!I205</f>
        <v>7.3786330231712504E-3</v>
      </c>
      <c r="K5" s="107">
        <f>IF(J5&lt;0,0,IF(AND(J5&gt;=0,J5&lt;=0.02),3,IF(AND(J5&gt;0.02,J5&lt;=0.04),4,5)))</f>
        <v>3</v>
      </c>
    </row>
    <row r="6" spans="1:11" ht="21.75" customHeight="1">
      <c r="A6" s="145"/>
      <c r="B6" s="144"/>
      <c r="C6" s="96" t="s">
        <v>8</v>
      </c>
      <c r="D6" s="106">
        <f>+dane!F206</f>
        <v>3.4642733582810267E-2</v>
      </c>
      <c r="E6" s="107">
        <f>IF(D6&lt;0,0,IF(AND(D6&gt;=0,D6&lt;=0.03),3,IF(AND(D6&gt;0.03,D6&lt;=0.05),4,5)))</f>
        <v>4</v>
      </c>
      <c r="F6" s="99">
        <f>+dane!G206</f>
        <v>5.8167650735126177E-3</v>
      </c>
      <c r="G6" s="94">
        <f>IF(F6&lt;0,0,IF(AND(F6&gt;=0,F6&lt;=0.03),3,IF(AND(F6&gt;0.03,F6&lt;=0.05),4,5)))</f>
        <v>3</v>
      </c>
      <c r="H6" s="106">
        <f>+dane!H206</f>
        <v>3.7667707446409041E-3</v>
      </c>
      <c r="I6" s="107">
        <f>IF(H6&lt;0,0,IF(AND(H6&gt;=0,H6&lt;=0.03),3,IF(AND(H6&gt;0.03,H6&lt;=0.05),4,5)))</f>
        <v>3</v>
      </c>
      <c r="J6" s="99">
        <f>+dane!I206</f>
        <v>8.1593803340304326E-3</v>
      </c>
      <c r="K6" s="107">
        <f>IF(J6&lt;0,0,IF(AND(J6&gt;=0,J6&lt;=0.03),3,IF(AND(J6&gt;0.03,J6&lt;=0.05),4,5)))</f>
        <v>3</v>
      </c>
    </row>
    <row r="7" spans="1:11" ht="21.75" customHeight="1">
      <c r="A7" s="145"/>
      <c r="B7" s="144"/>
      <c r="C7" s="96" t="s">
        <v>9</v>
      </c>
      <c r="D7" s="106">
        <f>+dane!F207</f>
        <v>3.8044724686940277E-2</v>
      </c>
      <c r="E7" s="107">
        <f>IF(D7&lt;0,0,IF(AND(D7&gt;=0,D7&lt;=0.02),3,IF(AND(D7&gt;0.02,D7&lt;=0.04),4,5)))</f>
        <v>4</v>
      </c>
      <c r="F7" s="99">
        <f>+dane!G207</f>
        <v>6.0085863448305831E-3</v>
      </c>
      <c r="G7" s="94">
        <f>IF(F7&lt;0,0,IF(AND(F7&gt;=0,F7&lt;=0.02),3,IF(AND(F7&gt;0.02,F7&lt;=0.04),4,5)))</f>
        <v>3</v>
      </c>
      <c r="H7" s="106">
        <f>+dane!H207</f>
        <v>3.5147606741817326E-3</v>
      </c>
      <c r="I7" s="107">
        <f>IF(H7&lt;0,0,IF(AND(H7&gt;=0,H7&lt;=0.02),3,IF(AND(H7&gt;0.02,H7&lt;=0.04),4,5)))</f>
        <v>3</v>
      </c>
      <c r="J7" s="99">
        <f>+dane!I207</f>
        <v>8.4725582439061416E-3</v>
      </c>
      <c r="K7" s="107">
        <f>IF(J7&lt;0,0,IF(AND(J7&gt;=0,J7&lt;=0.02),3,IF(AND(J7&gt;0.02,J7&lt;=0.04),4,5)))</f>
        <v>3</v>
      </c>
    </row>
    <row r="8" spans="1:11" ht="15" customHeight="1">
      <c r="A8" s="118"/>
      <c r="B8" s="90"/>
      <c r="C8" s="90"/>
      <c r="D8" s="108" t="s">
        <v>10</v>
      </c>
      <c r="E8" s="109">
        <f>SUM(E5:E7)</f>
        <v>12</v>
      </c>
      <c r="F8" s="100" t="s">
        <v>196</v>
      </c>
      <c r="G8" s="92">
        <f t="shared" ref="G8:K8" si="0">SUM(G5:G7)</f>
        <v>9</v>
      </c>
      <c r="H8" s="115" t="s">
        <v>196</v>
      </c>
      <c r="I8" s="109">
        <f t="shared" si="0"/>
        <v>9</v>
      </c>
      <c r="J8" s="100" t="s">
        <v>196</v>
      </c>
      <c r="K8" s="109">
        <f t="shared" si="0"/>
        <v>9</v>
      </c>
    </row>
    <row r="9" spans="1:11" ht="21.75" customHeight="1">
      <c r="A9" s="145" t="s">
        <v>11</v>
      </c>
      <c r="B9" s="144" t="s">
        <v>12</v>
      </c>
      <c r="C9" s="96" t="s">
        <v>13</v>
      </c>
      <c r="D9" s="110">
        <f>+dane!F209</f>
        <v>4.2281903044646656</v>
      </c>
      <c r="E9" s="107">
        <f>IF(D9&lt;0.6,0,IF(AND(D9&gt;=0.6,D9&lt;=1),4,IF(AND(D9&gt;1,D9&lt;=1.5),8,IF(AND(D9&gt;1.5,D9&lt;=3),12,IF(D9&gt;3,10)))))</f>
        <v>10</v>
      </c>
      <c r="F9" s="101">
        <f>+dane!G209</f>
        <v>4.2651879241621344</v>
      </c>
      <c r="G9" s="94">
        <f>IF(F9&lt;0.6,0,IF(AND(F9&gt;=0.6,F9&lt;=1),4,IF(AND(F9&gt;1,F9&lt;=1.5),8,IF(AND(F9&gt;1.5,F9&lt;=3),12,IF(F9&gt;3,10)))))</f>
        <v>10</v>
      </c>
      <c r="H9" s="110">
        <f>+dane!H209</f>
        <v>4.7026424574675776</v>
      </c>
      <c r="I9" s="107">
        <f>IF(H9&lt;0.6,0,IF(AND(H9&gt;=0.6,H9&lt;=1),4,IF(AND(H9&gt;1,H9&lt;=1.5),8,IF(AND(H9&gt;1.5,H9&lt;=3),12,IF(H9&gt;3,10)))))</f>
        <v>10</v>
      </c>
      <c r="J9" s="101">
        <f>+dane!I209</f>
        <v>5.2151257669781064</v>
      </c>
      <c r="K9" s="107">
        <f>IF(J9&lt;0.6,0,IF(AND(J9&gt;=0.6,J9&lt;=1),4,IF(AND(J9&gt;1,J9&lt;=1.5),8,IF(AND(J9&gt;1.5,J9&lt;=3),12,IF(J9&gt;3,10)))))</f>
        <v>10</v>
      </c>
    </row>
    <row r="10" spans="1:11" ht="21.75" customHeight="1">
      <c r="A10" s="145"/>
      <c r="B10" s="144"/>
      <c r="C10" s="96" t="s">
        <v>14</v>
      </c>
      <c r="D10" s="110">
        <f>+dane!F210</f>
        <v>3.895366567012331</v>
      </c>
      <c r="E10" s="107">
        <f>IF(D10&lt;0.5,0,IF(AND(D10&gt;=0.5,D10&lt;=1),8,IF(AND(D10&gt;1,D10&lt;=2.5),13,IF(D10&gt;2.5,10))))</f>
        <v>10</v>
      </c>
      <c r="F10" s="101">
        <f>+dane!G210</f>
        <v>4.1780313211778921</v>
      </c>
      <c r="G10" s="94">
        <f>IF(F10&lt;0.5,0,IF(AND(F10&gt;=0.5,F10&lt;=1),8,IF(AND(F10&gt;1,F10&lt;=2.5),13,IF(F10&gt;2.5,10))))</f>
        <v>10</v>
      </c>
      <c r="H10" s="110">
        <f>+dane!H210</f>
        <v>4.6082228042346491</v>
      </c>
      <c r="I10" s="107">
        <f>IF(H10&lt;0.5,0,IF(AND(H10&gt;=0.5,H10&lt;=1),8,IF(AND(H10&gt;1,H10&lt;=2.5),13,IF(H10&gt;2.5,10))))</f>
        <v>10</v>
      </c>
      <c r="J10" s="101">
        <f>+dane!I210</f>
        <v>5.120706113745177</v>
      </c>
      <c r="K10" s="107">
        <f>IF(J10&lt;0.5,0,IF(AND(J10&gt;=0.5,J10&lt;=1),8,IF(AND(J10&gt;1,J10&lt;=2.5),13,IF(J10&gt;2.5,10))))</f>
        <v>10</v>
      </c>
    </row>
    <row r="11" spans="1:11" ht="15" customHeight="1">
      <c r="A11" s="118"/>
      <c r="B11" s="91"/>
      <c r="C11" s="97"/>
      <c r="D11" s="108" t="s">
        <v>15</v>
      </c>
      <c r="E11" s="109">
        <f>SUM(E9:E10)</f>
        <v>20</v>
      </c>
      <c r="F11" s="100" t="s">
        <v>196</v>
      </c>
      <c r="G11" s="92">
        <f t="shared" ref="G11:K11" si="1">SUM(G9:G10)</f>
        <v>20</v>
      </c>
      <c r="H11" s="115" t="s">
        <v>196</v>
      </c>
      <c r="I11" s="109">
        <f t="shared" si="1"/>
        <v>20</v>
      </c>
      <c r="J11" s="100" t="s">
        <v>196</v>
      </c>
      <c r="K11" s="109">
        <f t="shared" si="1"/>
        <v>20</v>
      </c>
    </row>
    <row r="12" spans="1:11" ht="21.75" customHeight="1">
      <c r="A12" s="145" t="s">
        <v>16</v>
      </c>
      <c r="B12" s="144" t="s">
        <v>17</v>
      </c>
      <c r="C12" s="96" t="s">
        <v>18</v>
      </c>
      <c r="D12" s="110">
        <f>+dane!F212</f>
        <v>34.275473645131399</v>
      </c>
      <c r="E12" s="107">
        <f>IF(D12&lt;45,3,IF(AND(D12&gt;=45,D12&lt;=60),2,IF(AND(D12&gt;60,D12&lt;=90),1,IF(D12&gt;90,0))))</f>
        <v>3</v>
      </c>
      <c r="F12" s="101">
        <f>+dane!G212</f>
        <v>32.639401709474811</v>
      </c>
      <c r="G12" s="94">
        <f>IF(F12&lt;45,3,IF(AND(F12&gt;=45,F12&lt;=60),2,IF(AND(F12&gt;60,F12&lt;=90),1,IF(F12&gt;90,0))))</f>
        <v>3</v>
      </c>
      <c r="H12" s="110">
        <f>+dane!H212</f>
        <v>33.18181818181818</v>
      </c>
      <c r="I12" s="107">
        <f>IF(H12&lt;45,3,IF(AND(H12&gt;=45,H12&lt;=60),2,IF(AND(H12&gt;60,H12&lt;=90),1,IF(H12&gt;90,0))))</f>
        <v>3</v>
      </c>
      <c r="J12" s="101">
        <f>+dane!I212</f>
        <v>33.18181818181818</v>
      </c>
      <c r="K12" s="107">
        <f>IF(J12&lt;45,3,IF(AND(J12&gt;=45,J12&lt;=60),2,IF(AND(J12&gt;60,J12&lt;=90),1,IF(J12&gt;90,0))))</f>
        <v>3</v>
      </c>
    </row>
    <row r="13" spans="1:11" ht="21.75" customHeight="1">
      <c r="A13" s="145"/>
      <c r="B13" s="144"/>
      <c r="C13" s="96" t="s">
        <v>19</v>
      </c>
      <c r="D13" s="110">
        <f>+dane!F213</f>
        <v>12.893909469331373</v>
      </c>
      <c r="E13" s="107">
        <f>IF(D13&lt;=60,7,IF(AND(D13&gt;61,D13&lt;=90),4,IF(AND(D13&gt;60,D13&lt;=90),4,IF(D13&gt;90,0))))</f>
        <v>7</v>
      </c>
      <c r="F13" s="101">
        <f>+dane!G213</f>
        <v>11.977464251371247</v>
      </c>
      <c r="G13" s="94">
        <f>IF(F13&lt;=60,7,IF(AND(F13&gt;61,F13&lt;=90),4,IF(AND(F13&gt;60,F13&lt;=90),4,IF(F13&gt;90,0))))</f>
        <v>7</v>
      </c>
      <c r="H13" s="110">
        <f>+dane!H213</f>
        <v>11.911994744897958</v>
      </c>
      <c r="I13" s="107">
        <f>IF(H13&lt;=60,7,IF(AND(H13&gt;61,H13&lt;=90),4,IF(AND(H13&gt;60,H13&lt;=90),4,IF(H13&gt;90,0))))</f>
        <v>7</v>
      </c>
      <c r="J13" s="101">
        <f>+dane!I213</f>
        <v>11.855292942949909</v>
      </c>
      <c r="K13" s="107">
        <f>IF(J13&lt;=60,7,IF(AND(J13&gt;61,J13&lt;=90),4,IF(AND(J13&gt;60,J13&lt;=90),4,IF(J13&gt;90,0))))</f>
        <v>7</v>
      </c>
    </row>
    <row r="14" spans="1:11" ht="15" customHeight="1">
      <c r="A14" s="119"/>
      <c r="B14" s="93"/>
      <c r="C14" s="97"/>
      <c r="D14" s="108" t="s">
        <v>20</v>
      </c>
      <c r="E14" s="109">
        <f>SUM(E12:E13)</f>
        <v>10</v>
      </c>
      <c r="F14" s="100" t="s">
        <v>196</v>
      </c>
      <c r="G14" s="92">
        <f t="shared" ref="G14:K14" si="2">SUM(G12:G13)</f>
        <v>10</v>
      </c>
      <c r="H14" s="115" t="s">
        <v>196</v>
      </c>
      <c r="I14" s="109">
        <f t="shared" si="2"/>
        <v>10</v>
      </c>
      <c r="J14" s="100" t="s">
        <v>196</v>
      </c>
      <c r="K14" s="109">
        <f t="shared" si="2"/>
        <v>10</v>
      </c>
    </row>
    <row r="15" spans="1:11" ht="21.95" customHeight="1">
      <c r="A15" s="145" t="s">
        <v>21</v>
      </c>
      <c r="B15" s="144" t="s">
        <v>22</v>
      </c>
      <c r="C15" s="96" t="s">
        <v>23</v>
      </c>
      <c r="D15" s="111">
        <f>+dane!F215</f>
        <v>9.4607231236591302E-2</v>
      </c>
      <c r="E15" s="107">
        <f>IF(D15&lt;0.4,10,IF(AND(D15&gt;=0.4,D15&lt;=0.6),8,IF(AND(D15&gt;0.6,D15&lt;=0.8),3,IF(D15&gt;0.8,0))))</f>
        <v>10</v>
      </c>
      <c r="F15" s="102">
        <f>+dane!G215</f>
        <v>9.03138822065922E-2</v>
      </c>
      <c r="G15" s="94">
        <f>IF(F15&lt;0.4,10,IF(AND(F15&gt;=0.4,F15&lt;=0.6),8,IF(AND(F15&gt;0.6,F15&lt;=0.8),3,IF(F15&gt;0.8,0))))</f>
        <v>10</v>
      </c>
      <c r="H15" s="111">
        <f>+dane!H215</f>
        <v>9.084221182589676E-2</v>
      </c>
      <c r="I15" s="107">
        <f>IF(H15&lt;0.4,10,IF(AND(H15&gt;=0.4,H15&lt;=0.6),8,IF(AND(H15&gt;0.6,H15&lt;=0.8),3,IF(H15&gt;0.8,0))))</f>
        <v>10</v>
      </c>
      <c r="J15" s="102">
        <f>+dane!I215</f>
        <v>9.0549145004610962E-2</v>
      </c>
      <c r="K15" s="107">
        <f>IF(J15&lt;0.4,10,IF(AND(J15&gt;=0.4,J15&lt;=0.6),8,IF(AND(J15&gt;0.6,J15&lt;=0.8),3,IF(J15&gt;0.8,0))))</f>
        <v>10</v>
      </c>
    </row>
    <row r="16" spans="1:11" ht="21.95" customHeight="1">
      <c r="A16" s="145"/>
      <c r="B16" s="144"/>
      <c r="C16" s="96" t="s">
        <v>24</v>
      </c>
      <c r="D16" s="112">
        <f>+dane!F216</f>
        <v>0.17172222271006293</v>
      </c>
      <c r="E16" s="107">
        <f>IF(AND(D16&gt;0,D16&lt;=0.5),10,IF(AND(D16&gt;0.51,D16&lt;=1),8,IF(AND(D16&gt;1.01,D16&lt;=2),6,IF(AND(D16&gt;2.01,D16&lt;=4),4,0))))</f>
        <v>10</v>
      </c>
      <c r="F16" s="103">
        <f>+dane!G216</f>
        <v>0.16019594371598248</v>
      </c>
      <c r="G16" s="94">
        <f>IF(AND(F16&gt;0,F16&lt;=0.5),10,IF(AND(F16&gt;0.51,F16&lt;=1),8,IF(AND(F16&gt;1.01,F16&lt;=2),6,IF(AND(F16&gt;2.01,F16&lt;=4),4,0))))</f>
        <v>10</v>
      </c>
      <c r="H16" s="112">
        <f>+dane!H216</f>
        <v>0.15876794629783214</v>
      </c>
      <c r="I16" s="107">
        <f>IF(AND(H16&gt;0,H16&lt;=0.5),10,IF(AND(H16&gt;0.51,H16&lt;=1),8,IF(AND(H16&gt;1.01,H16&lt;=2),6,IF(AND(H16&gt;2.01,H16&lt;=4),4,0))))</f>
        <v>10</v>
      </c>
      <c r="J16" s="103">
        <f>+dane!I216</f>
        <v>0.15505180779515879</v>
      </c>
      <c r="K16" s="107">
        <f>IF(AND(J16&gt;0,J16&lt;=0.5),10,IF(AND(J16&gt;0.51,J16&lt;=1),8,IF(AND(J16&gt;1.01,J16&lt;=2),6,IF(AND(J16&gt;2.01,J16&lt;=4),4,0))))</f>
        <v>10</v>
      </c>
    </row>
    <row r="17" spans="1:11" ht="15" customHeight="1">
      <c r="A17" s="120"/>
      <c r="B17" s="91"/>
      <c r="C17" s="97"/>
      <c r="D17" s="108" t="s">
        <v>25</v>
      </c>
      <c r="E17" s="109">
        <f>SUM(E15:E16)</f>
        <v>20</v>
      </c>
      <c r="F17" s="100" t="s">
        <v>196</v>
      </c>
      <c r="G17" s="92">
        <f t="shared" ref="G17:K17" si="3">SUM(G15:G16)</f>
        <v>20</v>
      </c>
      <c r="H17" s="115" t="s">
        <v>196</v>
      </c>
      <c r="I17" s="109">
        <f t="shared" si="3"/>
        <v>20</v>
      </c>
      <c r="J17" s="100" t="s">
        <v>196</v>
      </c>
      <c r="K17" s="109">
        <f t="shared" si="3"/>
        <v>20</v>
      </c>
    </row>
    <row r="18" spans="1:11" ht="24.95" customHeight="1" thickBot="1">
      <c r="A18" s="121" t="s">
        <v>26</v>
      </c>
      <c r="B18" s="122"/>
      <c r="C18" s="123"/>
      <c r="D18" s="113"/>
      <c r="E18" s="114">
        <f>+E8+E11+E14+E17</f>
        <v>62</v>
      </c>
      <c r="F18" s="124" t="s">
        <v>196</v>
      </c>
      <c r="G18" s="125">
        <f t="shared" ref="G18:K18" si="4">+G8+G11+G14+G17</f>
        <v>59</v>
      </c>
      <c r="H18" s="116" t="s">
        <v>196</v>
      </c>
      <c r="I18" s="114">
        <f t="shared" si="4"/>
        <v>59</v>
      </c>
      <c r="J18" s="124" t="s">
        <v>196</v>
      </c>
      <c r="K18" s="114">
        <f t="shared" si="4"/>
        <v>59</v>
      </c>
    </row>
    <row r="19" spans="1:11" ht="15" customHeight="1">
      <c r="A19" s="126" t="s">
        <v>197</v>
      </c>
      <c r="B19" s="4"/>
      <c r="C19" s="4"/>
      <c r="D19" s="4"/>
      <c r="E19" s="5"/>
    </row>
  </sheetData>
  <mergeCells count="13">
    <mergeCell ref="B15:B16"/>
    <mergeCell ref="A15:A16"/>
    <mergeCell ref="A5:A7"/>
    <mergeCell ref="B9:B10"/>
    <mergeCell ref="A9:A10"/>
    <mergeCell ref="B12:B13"/>
    <mergeCell ref="A12:A13"/>
    <mergeCell ref="F3:G3"/>
    <mergeCell ref="H3:I3"/>
    <mergeCell ref="J3:K3"/>
    <mergeCell ref="D3:E3"/>
    <mergeCell ref="B5:B7"/>
    <mergeCell ref="A3:C3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</vt:lpstr>
      <vt:lpstr>wskaźniki</vt:lpstr>
      <vt:lpstr>dane!_FiltrujBazeDanych</vt:lpstr>
      <vt:lpstr>wskaźniki!Obszar_wydruku</vt:lpstr>
    </vt:vector>
  </TitlesOfParts>
  <Company>Urząd Miasta Stołecznego 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arusiecka</dc:creator>
  <cp:lastModifiedBy>Ksiegowosc_Dell</cp:lastModifiedBy>
  <cp:lastPrinted>2021-06-09T09:21:25Z</cp:lastPrinted>
  <dcterms:created xsi:type="dcterms:W3CDTF">2017-05-02T13:16:24Z</dcterms:created>
  <dcterms:modified xsi:type="dcterms:W3CDTF">2021-06-09T09:21:44Z</dcterms:modified>
</cp:coreProperties>
</file>